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05" windowWidth="20370" windowHeight="7125" tabRatio="931" activeTab="1"/>
  </bookViews>
  <sheets>
    <sheet name="Top Sheet" sheetId="9" r:id="rId1"/>
    <sheet name="New Year-Full Year" sheetId="1" r:id="rId2"/>
    <sheet name="YTD Report" sheetId="11" r:id="rId3"/>
    <sheet name="Monthly Report" sheetId="8" r:id="rId4"/>
    <sheet name="New Year Budget Paced" sheetId="14" r:id="rId5"/>
    <sheet name="Changes" sheetId="3" r:id="rId6"/>
    <sheet name="Current Year Actuals" sheetId="7" r:id="rId7"/>
    <sheet name="Prior Year Actuals" sheetId="6" r:id="rId8"/>
    <sheet name="Newsletter" sheetId="12" r:id="rId9"/>
    <sheet name="Current Year Budget" sheetId="4" r:id="rId10"/>
    <sheet name="2013 Budget" sheetId="17" r:id="rId11"/>
    <sheet name="2012 Budget" sheetId="13" r:id="rId12"/>
    <sheet name="2011 Actuals" sheetId="16" r:id="rId13"/>
    <sheet name="Historical Data (2)" sheetId="5" r:id="rId14"/>
    <sheet name="Lookups" sheetId="10" r:id="rId15"/>
  </sheets>
  <definedNames>
    <definedName name="Cur_Actuals">'Current Year Actuals'!$A$6:$AD$167</definedName>
    <definedName name="Cur_Budget" localSheetId="11">'2012 Budget'!$A$6:$AD$167</definedName>
    <definedName name="Cur_Budget" localSheetId="10">'2013 Budget'!$A$6:$AD$167</definedName>
    <definedName name="Cur_Budget" localSheetId="4">'New Year Budget Paced'!$A$6:$AD$167</definedName>
    <definedName name="Cur_Budget">'Current Year Budget'!$A$6:$AD$167</definedName>
    <definedName name="Cur_Month">'Top Sheet'!$C$5</definedName>
    <definedName name="Cur_Year">'Top Sheet'!$C$2</definedName>
    <definedName name="Lookup_Month">Lookups!$A$4:$B$15</definedName>
    <definedName name="_xlnm.Print_Titles" localSheetId="12">'2011 Actuals'!$1:$4</definedName>
    <definedName name="_xlnm.Print_Titles" localSheetId="11">'2012 Budget'!$1:$4</definedName>
    <definedName name="_xlnm.Print_Titles" localSheetId="10">'2013 Budget'!$1:$4</definedName>
    <definedName name="_xlnm.Print_Titles" localSheetId="5">Changes!$1:$4</definedName>
    <definedName name="_xlnm.Print_Titles" localSheetId="6">'Current Year Actuals'!$1:$4</definedName>
    <definedName name="_xlnm.Print_Titles" localSheetId="9">'Current Year Budget'!$1:$4</definedName>
    <definedName name="_xlnm.Print_Titles" localSheetId="13">'Historical Data (2)'!$1:$4</definedName>
    <definedName name="_xlnm.Print_Titles" localSheetId="3">'Monthly Report'!$1:$4</definedName>
    <definedName name="_xlnm.Print_Titles" localSheetId="4">'New Year Budget Paced'!$1:$4</definedName>
    <definedName name="_xlnm.Print_Titles" localSheetId="1">'New Year-Full Year'!$1:$4</definedName>
    <definedName name="_xlnm.Print_Titles" localSheetId="8">Newsletter!$10:$13</definedName>
    <definedName name="_xlnm.Print_Titles" localSheetId="7">'Prior Year Actuals'!$1:$4</definedName>
    <definedName name="_xlnm.Print_Titles" localSheetId="2">'YTD Report'!$1:$4</definedName>
    <definedName name="PY_Actual" localSheetId="12">'2011 Actuals'!$A$6:$AD$167</definedName>
    <definedName name="PY_Actual">'Prior Year Actuals'!$A$6:$AD$167</definedName>
  </definedNames>
  <calcPr calcId="145621"/>
</workbook>
</file>

<file path=xl/calcChain.xml><?xml version="1.0" encoding="utf-8"?>
<calcChain xmlns="http://schemas.openxmlformats.org/spreadsheetml/2006/main">
  <c r="G30" i="1" l="1"/>
  <c r="G7" i="1" l="1"/>
  <c r="G139" i="1" l="1"/>
  <c r="G135" i="1"/>
  <c r="D133" i="1"/>
  <c r="E116" i="1"/>
  <c r="E114" i="1"/>
  <c r="H96" i="1"/>
  <c r="N35" i="4" l="1"/>
  <c r="O35" i="4"/>
  <c r="Q100" i="4"/>
  <c r="N100" i="4"/>
  <c r="O100" i="4"/>
  <c r="Q163" i="4"/>
  <c r="N163" i="4"/>
  <c r="Q35" i="4"/>
  <c r="O169" i="4"/>
  <c r="Q36" i="4"/>
  <c r="P100" i="4"/>
  <c r="Q7" i="4"/>
  <c r="O115" i="7"/>
  <c r="O113" i="7"/>
  <c r="O109" i="7"/>
  <c r="O108" i="7"/>
  <c r="O105" i="7"/>
  <c r="O104" i="7"/>
  <c r="O100" i="7"/>
  <c r="O99" i="7"/>
  <c r="O95" i="7"/>
  <c r="O94" i="7"/>
  <c r="O88" i="7"/>
  <c r="O87" i="7"/>
  <c r="O86" i="7"/>
  <c r="O80" i="7"/>
  <c r="O79" i="7"/>
  <c r="O78" i="7"/>
  <c r="O75" i="7"/>
  <c r="O74" i="7"/>
  <c r="O60" i="7"/>
  <c r="G113" i="1" l="1"/>
  <c r="F86" i="1"/>
  <c r="L163" i="1"/>
  <c r="L162" i="1"/>
  <c r="L161" i="1"/>
  <c r="L164" i="1" s="1"/>
  <c r="L160" i="1"/>
  <c r="L154" i="1"/>
  <c r="L153" i="1"/>
  <c r="L152" i="1"/>
  <c r="L151" i="1"/>
  <c r="L150" i="1"/>
  <c r="L149" i="1"/>
  <c r="L148" i="1"/>
  <c r="L155" i="1" s="1"/>
  <c r="L147" i="1"/>
  <c r="L143" i="1"/>
  <c r="L142" i="1"/>
  <c r="L141" i="1"/>
  <c r="L140" i="1"/>
  <c r="L139" i="1"/>
  <c r="L138" i="1"/>
  <c r="L137" i="1"/>
  <c r="L144" i="1" s="1"/>
  <c r="L131" i="1"/>
  <c r="L130" i="1"/>
  <c r="L129" i="1"/>
  <c r="L128" i="1"/>
  <c r="L127" i="1"/>
  <c r="L126" i="1"/>
  <c r="L125" i="1"/>
  <c r="L132" i="1" s="1"/>
  <c r="L124" i="1"/>
  <c r="L123" i="1"/>
  <c r="L122" i="1"/>
  <c r="L118" i="1"/>
  <c r="L117" i="1"/>
  <c r="L116" i="1"/>
  <c r="L115" i="1"/>
  <c r="L114" i="1"/>
  <c r="L113" i="1"/>
  <c r="L119" i="1" s="1"/>
  <c r="L109" i="1"/>
  <c r="L108" i="1"/>
  <c r="L107" i="1"/>
  <c r="L106" i="1"/>
  <c r="L105" i="1"/>
  <c r="L104" i="1"/>
  <c r="L110" i="1" s="1"/>
  <c r="L100" i="1"/>
  <c r="L99" i="1"/>
  <c r="L101" i="1" s="1"/>
  <c r="L95" i="1"/>
  <c r="L94" i="1"/>
  <c r="L90" i="1"/>
  <c r="L89" i="1"/>
  <c r="L88" i="1"/>
  <c r="L87" i="1"/>
  <c r="L86" i="1"/>
  <c r="L91" i="1" s="1"/>
  <c r="L80" i="1"/>
  <c r="L79" i="1"/>
  <c r="L78" i="1"/>
  <c r="L77" i="1"/>
  <c r="L76" i="1"/>
  <c r="L75" i="1"/>
  <c r="L74" i="1"/>
  <c r="L81" i="1" s="1"/>
  <c r="L70" i="1"/>
  <c r="L69" i="1"/>
  <c r="L68" i="1"/>
  <c r="L67" i="1"/>
  <c r="L66" i="1"/>
  <c r="L63" i="1"/>
  <c r="L60" i="1"/>
  <c r="L59" i="1"/>
  <c r="L55" i="1"/>
  <c r="L54" i="1"/>
  <c r="L53" i="1"/>
  <c r="L56" i="1" s="1"/>
  <c r="L49" i="1"/>
  <c r="L48" i="1"/>
  <c r="L47" i="1"/>
  <c r="L46" i="1"/>
  <c r="L43" i="1"/>
  <c r="L40" i="1"/>
  <c r="L39" i="1"/>
  <c r="L38" i="1"/>
  <c r="L37" i="1"/>
  <c r="L36" i="1"/>
  <c r="L35" i="1"/>
  <c r="L41" i="1" s="1"/>
  <c r="L31" i="1"/>
  <c r="L19" i="1"/>
  <c r="L20" i="1"/>
  <c r="L18" i="1"/>
  <c r="L17" i="1"/>
  <c r="L16" i="1"/>
  <c r="L21" i="1" s="1"/>
  <c r="L12" i="1"/>
  <c r="L11" i="1"/>
  <c r="L10" i="1"/>
  <c r="L9" i="1"/>
  <c r="L8" i="1"/>
  <c r="L13" i="1" s="1"/>
  <c r="L7" i="1"/>
  <c r="L71" i="1"/>
  <c r="L50" i="1"/>
  <c r="L96" i="1"/>
  <c r="L61" i="1"/>
  <c r="H86" i="1"/>
  <c r="H94" i="1"/>
  <c r="H99" i="1"/>
  <c r="H113" i="1"/>
  <c r="H115" i="1"/>
  <c r="H116" i="1"/>
  <c r="H117" i="1"/>
  <c r="H123" i="1"/>
  <c r="H163" i="1"/>
  <c r="H162" i="1"/>
  <c r="H161" i="1"/>
  <c r="H160" i="1"/>
  <c r="H154" i="1"/>
  <c r="H153" i="1"/>
  <c r="H152" i="1"/>
  <c r="H151" i="1"/>
  <c r="H150" i="1"/>
  <c r="H149" i="1"/>
  <c r="H148" i="1"/>
  <c r="H147" i="1"/>
  <c r="H143" i="1"/>
  <c r="H142" i="1"/>
  <c r="H141" i="1"/>
  <c r="H140" i="1"/>
  <c r="H139" i="1"/>
  <c r="H138" i="1"/>
  <c r="H137" i="1"/>
  <c r="H131" i="1"/>
  <c r="H130" i="1"/>
  <c r="H129" i="1"/>
  <c r="H128" i="1"/>
  <c r="H127" i="1"/>
  <c r="H126" i="1"/>
  <c r="H125" i="1"/>
  <c r="H124" i="1"/>
  <c r="H122" i="1"/>
  <c r="H118" i="1"/>
  <c r="H114" i="1"/>
  <c r="H109" i="1"/>
  <c r="H108" i="1"/>
  <c r="H107" i="1"/>
  <c r="H106" i="1"/>
  <c r="H105" i="1"/>
  <c r="H104" i="1"/>
  <c r="H100" i="1"/>
  <c r="H95" i="1"/>
  <c r="H90" i="1"/>
  <c r="H89" i="1"/>
  <c r="H88" i="1"/>
  <c r="H87" i="1"/>
  <c r="H80" i="1"/>
  <c r="H79" i="1"/>
  <c r="H78" i="1"/>
  <c r="H77" i="1"/>
  <c r="H76" i="1"/>
  <c r="H75" i="1"/>
  <c r="H74" i="1"/>
  <c r="H70" i="1"/>
  <c r="H69" i="1"/>
  <c r="H68" i="1"/>
  <c r="H67" i="1"/>
  <c r="H66" i="1"/>
  <c r="H63" i="1"/>
  <c r="H60" i="1"/>
  <c r="H59" i="1"/>
  <c r="H55" i="1"/>
  <c r="H54" i="1"/>
  <c r="H53" i="1"/>
  <c r="H49" i="1"/>
  <c r="H48" i="1"/>
  <c r="H47" i="1"/>
  <c r="H46" i="1"/>
  <c r="H43" i="1"/>
  <c r="H40" i="1"/>
  <c r="H39" i="1"/>
  <c r="H38" i="1"/>
  <c r="H37" i="1"/>
  <c r="H36" i="1"/>
  <c r="H35" i="1"/>
  <c r="H31" i="1"/>
  <c r="H29" i="1"/>
  <c r="H28" i="1"/>
  <c r="H27" i="1"/>
  <c r="H20" i="1"/>
  <c r="H19" i="1"/>
  <c r="H18" i="1"/>
  <c r="H17" i="1"/>
  <c r="H16" i="1"/>
  <c r="H12" i="1"/>
  <c r="H11" i="1"/>
  <c r="H10" i="1"/>
  <c r="H9" i="1"/>
  <c r="H8" i="1"/>
  <c r="H7" i="1"/>
  <c r="R164" i="17"/>
  <c r="I163" i="17"/>
  <c r="I164" i="17" s="1"/>
  <c r="E163" i="17"/>
  <c r="AD162" i="17"/>
  <c r="AC162" i="17"/>
  <c r="AB162" i="17"/>
  <c r="AA162" i="17"/>
  <c r="Z162" i="17"/>
  <c r="Y162" i="17"/>
  <c r="X162" i="17"/>
  <c r="W162" i="17"/>
  <c r="V162" i="17"/>
  <c r="U162" i="17"/>
  <c r="T162" i="17"/>
  <c r="S162" i="17"/>
  <c r="T161" i="17"/>
  <c r="S161" i="17"/>
  <c r="Q161" i="17"/>
  <c r="N161" i="17"/>
  <c r="K161" i="17"/>
  <c r="H161" i="17"/>
  <c r="AD160" i="17"/>
  <c r="AC160" i="17"/>
  <c r="AB160" i="17"/>
  <c r="AA160" i="17"/>
  <c r="Z160" i="17"/>
  <c r="Y160" i="17"/>
  <c r="X160" i="17"/>
  <c r="W160" i="17"/>
  <c r="V160" i="17"/>
  <c r="U160" i="17"/>
  <c r="T160" i="17"/>
  <c r="S160" i="17"/>
  <c r="R155" i="17"/>
  <c r="E154" i="17"/>
  <c r="S153" i="17"/>
  <c r="N153" i="17"/>
  <c r="J153" i="17"/>
  <c r="F153" i="17"/>
  <c r="E153" i="17"/>
  <c r="Q153" i="17" s="1"/>
  <c r="P152" i="17"/>
  <c r="O152" i="17"/>
  <c r="N152" i="17"/>
  <c r="L152" i="17"/>
  <c r="K152" i="17"/>
  <c r="J152" i="17"/>
  <c r="H152" i="17"/>
  <c r="G152" i="17"/>
  <c r="F152" i="17"/>
  <c r="E152" i="17"/>
  <c r="Q152" i="17" s="1"/>
  <c r="P151" i="17"/>
  <c r="O151" i="17"/>
  <c r="L151" i="17"/>
  <c r="K151" i="17"/>
  <c r="H151" i="17"/>
  <c r="G151" i="17"/>
  <c r="E151" i="17"/>
  <c r="N151" i="17" s="1"/>
  <c r="Q150" i="17"/>
  <c r="P150" i="17"/>
  <c r="L150" i="17"/>
  <c r="I150" i="17"/>
  <c r="H150" i="17"/>
  <c r="E150" i="17"/>
  <c r="M149" i="17"/>
  <c r="E149" i="17"/>
  <c r="Q149" i="17" s="1"/>
  <c r="AA148" i="17"/>
  <c r="W148" i="17"/>
  <c r="S148" i="17"/>
  <c r="Q148" i="17"/>
  <c r="P148" i="17"/>
  <c r="H148" i="17"/>
  <c r="G148" i="17"/>
  <c r="F148" i="17"/>
  <c r="AD147" i="17"/>
  <c r="X147" i="17"/>
  <c r="V147" i="17"/>
  <c r="U147" i="17"/>
  <c r="T147" i="17"/>
  <c r="O147" i="17"/>
  <c r="L147" i="17"/>
  <c r="AB147" i="17" s="1"/>
  <c r="I147" i="17"/>
  <c r="Z147" i="17" s="1"/>
  <c r="F147" i="17"/>
  <c r="R144" i="17"/>
  <c r="R156" i="17" s="1"/>
  <c r="AB143" i="17"/>
  <c r="V143" i="17"/>
  <c r="F143" i="17"/>
  <c r="S142" i="17"/>
  <c r="P142" i="17"/>
  <c r="N142" i="17"/>
  <c r="L142" i="17"/>
  <c r="J142" i="17"/>
  <c r="H142" i="17"/>
  <c r="F142" i="17"/>
  <c r="E142" i="17"/>
  <c r="Q142" i="17" s="1"/>
  <c r="M141" i="17"/>
  <c r="K141" i="17"/>
  <c r="I141" i="17"/>
  <c r="E141" i="17"/>
  <c r="O140" i="17"/>
  <c r="L140" i="17"/>
  <c r="I140" i="17"/>
  <c r="F140" i="17"/>
  <c r="S139" i="17"/>
  <c r="P139" i="17"/>
  <c r="O139" i="17"/>
  <c r="N139" i="17"/>
  <c r="L139" i="17"/>
  <c r="K139" i="17"/>
  <c r="J139" i="17"/>
  <c r="H139" i="17"/>
  <c r="G139" i="17"/>
  <c r="F139" i="17"/>
  <c r="E139" i="17"/>
  <c r="Q139" i="17" s="1"/>
  <c r="Q138" i="17"/>
  <c r="O138" i="17"/>
  <c r="K138" i="17"/>
  <c r="I138" i="17"/>
  <c r="G138" i="17"/>
  <c r="E138" i="17"/>
  <c r="S137" i="17"/>
  <c r="P137" i="17"/>
  <c r="N137" i="17"/>
  <c r="L137" i="17"/>
  <c r="J137" i="17"/>
  <c r="H137" i="17"/>
  <c r="F137" i="17"/>
  <c r="E137" i="17"/>
  <c r="Q137" i="17" s="1"/>
  <c r="D133" i="17"/>
  <c r="R132" i="17"/>
  <c r="AD131" i="17"/>
  <c r="W131" i="17"/>
  <c r="S131" i="17"/>
  <c r="L131" i="17"/>
  <c r="F131" i="17"/>
  <c r="T130" i="17"/>
  <c r="P130" i="17"/>
  <c r="O130" i="17"/>
  <c r="N130" i="17"/>
  <c r="L130" i="17"/>
  <c r="K130" i="17"/>
  <c r="J130" i="17"/>
  <c r="H130" i="17"/>
  <c r="G130" i="17"/>
  <c r="F130" i="17"/>
  <c r="E130" i="17"/>
  <c r="Q130" i="17" s="1"/>
  <c r="AB129" i="17"/>
  <c r="Y129" i="17"/>
  <c r="U129" i="17"/>
  <c r="T129" i="17"/>
  <c r="O129" i="17"/>
  <c r="L129" i="17"/>
  <c r="I129" i="17"/>
  <c r="F129" i="17"/>
  <c r="Q128" i="17"/>
  <c r="O128" i="17"/>
  <c r="K128" i="17"/>
  <c r="G128" i="17"/>
  <c r="E128" i="17"/>
  <c r="P128" i="17" s="1"/>
  <c r="P127" i="17"/>
  <c r="N127" i="17"/>
  <c r="J127" i="17"/>
  <c r="I127" i="17"/>
  <c r="H127" i="17"/>
  <c r="E127" i="17"/>
  <c r="S126" i="17"/>
  <c r="Q126" i="17"/>
  <c r="N126" i="17"/>
  <c r="M126" i="17"/>
  <c r="K126" i="17"/>
  <c r="I126" i="17"/>
  <c r="G126" i="17"/>
  <c r="F126" i="17"/>
  <c r="E126" i="17"/>
  <c r="P125" i="17"/>
  <c r="O125" i="17"/>
  <c r="N125" i="17"/>
  <c r="L125" i="17"/>
  <c r="K125" i="17"/>
  <c r="J125" i="17"/>
  <c r="H125" i="17"/>
  <c r="G125" i="17"/>
  <c r="F125" i="17"/>
  <c r="E125" i="17"/>
  <c r="Q125" i="17" s="1"/>
  <c r="Q124" i="17"/>
  <c r="O124" i="17"/>
  <c r="K124" i="17"/>
  <c r="G124" i="17"/>
  <c r="E124" i="17"/>
  <c r="P124" i="17" s="1"/>
  <c r="P123" i="17"/>
  <c r="N123" i="17"/>
  <c r="J123" i="17"/>
  <c r="I123" i="17"/>
  <c r="H123" i="17"/>
  <c r="E123" i="17"/>
  <c r="S122" i="17"/>
  <c r="Q122" i="17"/>
  <c r="N122" i="17"/>
  <c r="M122" i="17"/>
  <c r="K122" i="17"/>
  <c r="I122" i="17"/>
  <c r="G122" i="17"/>
  <c r="F122" i="17"/>
  <c r="E122" i="17"/>
  <c r="R119" i="17"/>
  <c r="Q118" i="17"/>
  <c r="O118" i="17"/>
  <c r="M118" i="17"/>
  <c r="L118" i="17"/>
  <c r="I118" i="17"/>
  <c r="H118" i="17"/>
  <c r="G118" i="17"/>
  <c r="E118" i="17"/>
  <c r="M117" i="17"/>
  <c r="H117" i="17"/>
  <c r="E117" i="17"/>
  <c r="J117" i="17" s="1"/>
  <c r="AB116" i="17"/>
  <c r="W116" i="17"/>
  <c r="T116" i="17"/>
  <c r="S116" i="17"/>
  <c r="Q116" i="17"/>
  <c r="P116" i="17"/>
  <c r="O116" i="17"/>
  <c r="N116" i="17"/>
  <c r="K116" i="17"/>
  <c r="J116" i="17"/>
  <c r="I116" i="17"/>
  <c r="H116" i="17"/>
  <c r="G116" i="17"/>
  <c r="F116" i="17"/>
  <c r="E115" i="17"/>
  <c r="Q115" i="17" s="1"/>
  <c r="S114" i="17"/>
  <c r="P114" i="17"/>
  <c r="N114" i="17"/>
  <c r="L114" i="17"/>
  <c r="J114" i="17"/>
  <c r="H114" i="17"/>
  <c r="F114" i="17"/>
  <c r="E114" i="17"/>
  <c r="Q114" i="17" s="1"/>
  <c r="Q113" i="17"/>
  <c r="M113" i="17"/>
  <c r="I113" i="17"/>
  <c r="E113" i="17"/>
  <c r="R110" i="17"/>
  <c r="M109" i="17"/>
  <c r="H109" i="17"/>
  <c r="E109" i="17"/>
  <c r="K109" i="17" s="1"/>
  <c r="Q108" i="17"/>
  <c r="N108" i="17"/>
  <c r="L108" i="17"/>
  <c r="I108" i="17"/>
  <c r="F108" i="17"/>
  <c r="E108" i="17"/>
  <c r="M108" i="17" s="1"/>
  <c r="M107" i="17"/>
  <c r="G107" i="17"/>
  <c r="E107" i="17"/>
  <c r="J107" i="17" s="1"/>
  <c r="P106" i="17"/>
  <c r="O106" i="17"/>
  <c r="N106" i="17"/>
  <c r="L106" i="17"/>
  <c r="K106" i="17"/>
  <c r="J106" i="17"/>
  <c r="H106" i="17"/>
  <c r="G106" i="17"/>
  <c r="F106" i="17"/>
  <c r="E106" i="17"/>
  <c r="Q106" i="17" s="1"/>
  <c r="M105" i="17"/>
  <c r="H105" i="17"/>
  <c r="E105" i="17"/>
  <c r="K105" i="17" s="1"/>
  <c r="Q104" i="17"/>
  <c r="N104" i="17"/>
  <c r="L104" i="17"/>
  <c r="I104" i="17"/>
  <c r="F104" i="17"/>
  <c r="E104" i="17"/>
  <c r="M104" i="17" s="1"/>
  <c r="R101" i="17"/>
  <c r="P101" i="17"/>
  <c r="N101" i="17"/>
  <c r="K101" i="17"/>
  <c r="H101" i="17"/>
  <c r="F101" i="17"/>
  <c r="Y100" i="17"/>
  <c r="T100" i="17"/>
  <c r="Q100" i="17"/>
  <c r="P100" i="17"/>
  <c r="O100" i="17"/>
  <c r="N100" i="17"/>
  <c r="I100" i="17"/>
  <c r="H100" i="17"/>
  <c r="G100" i="17"/>
  <c r="W100" i="17" s="1"/>
  <c r="F100" i="17"/>
  <c r="AA100" i="17" s="1"/>
  <c r="U99" i="17"/>
  <c r="S99" i="17"/>
  <c r="P99" i="17"/>
  <c r="O99" i="17"/>
  <c r="O101" i="17" s="1"/>
  <c r="N99" i="17"/>
  <c r="L99" i="17"/>
  <c r="L101" i="17" s="1"/>
  <c r="K99" i="17"/>
  <c r="J99" i="17"/>
  <c r="J101" i="17" s="1"/>
  <c r="H99" i="17"/>
  <c r="G99" i="17"/>
  <c r="F99" i="17"/>
  <c r="E99" i="17"/>
  <c r="Q99" i="17" s="1"/>
  <c r="Q101" i="17" s="1"/>
  <c r="R96" i="17"/>
  <c r="J95" i="17"/>
  <c r="E95" i="17"/>
  <c r="Q94" i="17"/>
  <c r="N94" i="17"/>
  <c r="K94" i="17"/>
  <c r="I94" i="17"/>
  <c r="F94" i="17"/>
  <c r="E94" i="17"/>
  <c r="M94" i="17" s="1"/>
  <c r="R91" i="17"/>
  <c r="Q90" i="17"/>
  <c r="O90" i="17"/>
  <c r="M90" i="17"/>
  <c r="L90" i="17"/>
  <c r="I90" i="17"/>
  <c r="H90" i="17"/>
  <c r="G90" i="17"/>
  <c r="E90" i="17"/>
  <c r="M89" i="17"/>
  <c r="J89" i="17"/>
  <c r="H89" i="17"/>
  <c r="E89" i="17"/>
  <c r="Q88" i="17"/>
  <c r="N88" i="17"/>
  <c r="K88" i="17"/>
  <c r="I88" i="17"/>
  <c r="F88" i="17"/>
  <c r="E88" i="17"/>
  <c r="M88" i="17" s="1"/>
  <c r="S87" i="17"/>
  <c r="P87" i="17"/>
  <c r="O87" i="17"/>
  <c r="N87" i="17"/>
  <c r="L87" i="17"/>
  <c r="K87" i="17"/>
  <c r="J87" i="17"/>
  <c r="H87" i="17"/>
  <c r="G87" i="17"/>
  <c r="F87" i="17"/>
  <c r="E87" i="17"/>
  <c r="Q87" i="17" s="1"/>
  <c r="Q86" i="17"/>
  <c r="O86" i="17"/>
  <c r="M86" i="17"/>
  <c r="L86" i="17"/>
  <c r="I86" i="17"/>
  <c r="H86" i="17"/>
  <c r="G86" i="17"/>
  <c r="E86" i="17"/>
  <c r="R81" i="17"/>
  <c r="S80" i="17"/>
  <c r="P80" i="17"/>
  <c r="O80" i="17"/>
  <c r="N80" i="17"/>
  <c r="L80" i="17"/>
  <c r="K80" i="17"/>
  <c r="J80" i="17"/>
  <c r="H80" i="17"/>
  <c r="G80" i="17"/>
  <c r="F80" i="17"/>
  <c r="E80" i="17"/>
  <c r="Q80" i="17" s="1"/>
  <c r="Q79" i="17"/>
  <c r="O79" i="17"/>
  <c r="L79" i="17"/>
  <c r="J79" i="17"/>
  <c r="H79" i="17"/>
  <c r="F79" i="17"/>
  <c r="E79" i="17"/>
  <c r="N79" i="17" s="1"/>
  <c r="E78" i="17"/>
  <c r="AD77" i="17"/>
  <c r="AC77" i="17"/>
  <c r="AB77" i="17"/>
  <c r="AA77" i="17"/>
  <c r="Z77" i="17"/>
  <c r="Y77" i="17"/>
  <c r="X77" i="17"/>
  <c r="W77" i="17"/>
  <c r="V77" i="17"/>
  <c r="U77" i="17"/>
  <c r="T77" i="17"/>
  <c r="S77" i="17"/>
  <c r="R77" i="17"/>
  <c r="Q76" i="17"/>
  <c r="I76" i="17"/>
  <c r="E76" i="17"/>
  <c r="S75" i="17"/>
  <c r="P75" i="17"/>
  <c r="N75" i="17"/>
  <c r="L75" i="17"/>
  <c r="J75" i="17"/>
  <c r="H75" i="17"/>
  <c r="F75" i="17"/>
  <c r="E75" i="17"/>
  <c r="Q75" i="17" s="1"/>
  <c r="E74" i="17"/>
  <c r="Q70" i="17"/>
  <c r="O70" i="17"/>
  <c r="K70" i="17"/>
  <c r="I70" i="17"/>
  <c r="G70" i="17"/>
  <c r="E70" i="17"/>
  <c r="P69" i="17"/>
  <c r="L69" i="17"/>
  <c r="I69" i="17"/>
  <c r="I71" i="17" s="1"/>
  <c r="F69" i="17"/>
  <c r="E69" i="17"/>
  <c r="N69" i="17" s="1"/>
  <c r="AD68" i="17"/>
  <c r="AC68" i="17"/>
  <c r="AB68" i="17"/>
  <c r="AA68" i="17"/>
  <c r="Z68" i="17"/>
  <c r="Y68" i="17"/>
  <c r="X68" i="17"/>
  <c r="W68" i="17"/>
  <c r="V68" i="17"/>
  <c r="U68" i="17"/>
  <c r="T68" i="17"/>
  <c r="S68" i="17"/>
  <c r="R68" i="17"/>
  <c r="AD67" i="17"/>
  <c r="AC67" i="17"/>
  <c r="AB67" i="17"/>
  <c r="AA67" i="17"/>
  <c r="Z67" i="17"/>
  <c r="Y67" i="17"/>
  <c r="X67" i="17"/>
  <c r="W67" i="17"/>
  <c r="V67" i="17"/>
  <c r="U67" i="17"/>
  <c r="T67" i="17"/>
  <c r="S67" i="17"/>
  <c r="R67" i="17"/>
  <c r="AD66" i="17"/>
  <c r="AC66" i="17"/>
  <c r="AB66" i="17"/>
  <c r="AA66" i="17"/>
  <c r="Z66" i="17"/>
  <c r="Y66" i="17"/>
  <c r="X66" i="17"/>
  <c r="W66" i="17"/>
  <c r="V66" i="17"/>
  <c r="U66" i="17"/>
  <c r="T66" i="17"/>
  <c r="S66" i="17"/>
  <c r="R66" i="17"/>
  <c r="Q63" i="17"/>
  <c r="N63" i="17"/>
  <c r="M63" i="17"/>
  <c r="L63" i="17"/>
  <c r="I63" i="17"/>
  <c r="H63" i="17"/>
  <c r="F63" i="17"/>
  <c r="E63" i="17"/>
  <c r="R61" i="17"/>
  <c r="T60" i="17"/>
  <c r="P60" i="17"/>
  <c r="O60" i="17"/>
  <c r="N60" i="17"/>
  <c r="L60" i="17"/>
  <c r="K60" i="17"/>
  <c r="J60" i="17"/>
  <c r="H60" i="17"/>
  <c r="G60" i="17"/>
  <c r="F60" i="17"/>
  <c r="E60" i="17"/>
  <c r="Q60" i="17" s="1"/>
  <c r="M59" i="17"/>
  <c r="H59" i="17"/>
  <c r="H61" i="17" s="1"/>
  <c r="E59" i="17"/>
  <c r="R56" i="17"/>
  <c r="O55" i="17"/>
  <c r="J55" i="17"/>
  <c r="E55" i="17"/>
  <c r="T54" i="17"/>
  <c r="P54" i="17"/>
  <c r="O54" i="17"/>
  <c r="N54" i="17"/>
  <c r="L54" i="17"/>
  <c r="K54" i="17"/>
  <c r="J54" i="17"/>
  <c r="H54" i="17"/>
  <c r="G54" i="17"/>
  <c r="F54" i="17"/>
  <c r="E54" i="17"/>
  <c r="Q54" i="17" s="1"/>
  <c r="M53" i="17"/>
  <c r="H53" i="17"/>
  <c r="E53" i="17"/>
  <c r="R50" i="17"/>
  <c r="O49" i="17"/>
  <c r="J49" i="17"/>
  <c r="E49" i="17"/>
  <c r="T48" i="17"/>
  <c r="P48" i="17"/>
  <c r="O48" i="17"/>
  <c r="N48" i="17"/>
  <c r="L48" i="17"/>
  <c r="K48" i="17"/>
  <c r="J48" i="17"/>
  <c r="H48" i="17"/>
  <c r="G48" i="17"/>
  <c r="F48" i="17"/>
  <c r="E48" i="17"/>
  <c r="Q48" i="17" s="1"/>
  <c r="M47" i="17"/>
  <c r="H47" i="17"/>
  <c r="E47" i="17"/>
  <c r="Q46" i="17"/>
  <c r="N46" i="17"/>
  <c r="M46" i="17"/>
  <c r="L46" i="17"/>
  <c r="I46" i="17"/>
  <c r="H46" i="17"/>
  <c r="F46" i="17"/>
  <c r="E46" i="17"/>
  <c r="O43" i="17"/>
  <c r="E43" i="17"/>
  <c r="Q40" i="17"/>
  <c r="O40" i="17"/>
  <c r="M40" i="17"/>
  <c r="L40" i="17"/>
  <c r="I40" i="17"/>
  <c r="H40" i="17"/>
  <c r="G40" i="17"/>
  <c r="E40" i="17"/>
  <c r="T39" i="17"/>
  <c r="S39" i="17"/>
  <c r="J39" i="17"/>
  <c r="I39" i="17"/>
  <c r="E38" i="17"/>
  <c r="P38" i="17" s="1"/>
  <c r="AD37" i="17"/>
  <c r="AC37" i="17"/>
  <c r="AB37" i="17"/>
  <c r="AA37" i="17"/>
  <c r="Z37" i="17"/>
  <c r="Y37" i="17"/>
  <c r="X37" i="17"/>
  <c r="W37" i="17"/>
  <c r="V37" i="17"/>
  <c r="U37" i="17"/>
  <c r="T37" i="17"/>
  <c r="S37" i="17"/>
  <c r="R37" i="17"/>
  <c r="R41" i="17" s="1"/>
  <c r="M36" i="17"/>
  <c r="E36" i="17"/>
  <c r="J36" i="17" s="1"/>
  <c r="P35" i="17"/>
  <c r="O35" i="17"/>
  <c r="N35" i="17"/>
  <c r="L35" i="17"/>
  <c r="K35" i="17"/>
  <c r="J35" i="17"/>
  <c r="H35" i="17"/>
  <c r="G35" i="17"/>
  <c r="F35" i="17"/>
  <c r="E35" i="17"/>
  <c r="Q35" i="17" s="1"/>
  <c r="AC31" i="17"/>
  <c r="AB31" i="17"/>
  <c r="AA31" i="17"/>
  <c r="Z31" i="17"/>
  <c r="Y31" i="17"/>
  <c r="X31" i="17"/>
  <c r="W31" i="17"/>
  <c r="V31" i="17"/>
  <c r="U31" i="17"/>
  <c r="T31" i="17"/>
  <c r="S31" i="17"/>
  <c r="R21" i="17"/>
  <c r="S20" i="17"/>
  <c r="P20" i="17"/>
  <c r="N20" i="17"/>
  <c r="L20" i="17"/>
  <c r="J20" i="17"/>
  <c r="H20" i="17"/>
  <c r="F20" i="17"/>
  <c r="E20" i="17"/>
  <c r="Q20" i="17" s="1"/>
  <c r="M19" i="17"/>
  <c r="K19" i="17"/>
  <c r="E19" i="17"/>
  <c r="Q19" i="17" s="1"/>
  <c r="P18" i="17"/>
  <c r="O18" i="17"/>
  <c r="N18" i="17"/>
  <c r="L18" i="17"/>
  <c r="K18" i="17"/>
  <c r="J18" i="17"/>
  <c r="H18" i="17"/>
  <c r="G18" i="17"/>
  <c r="F18" i="17"/>
  <c r="E18" i="17"/>
  <c r="Q18" i="17" s="1"/>
  <c r="E17" i="17"/>
  <c r="K17" i="17" s="1"/>
  <c r="Q16" i="17"/>
  <c r="P16" i="17"/>
  <c r="O16" i="17"/>
  <c r="N16" i="17"/>
  <c r="M16" i="17"/>
  <c r="L16" i="17"/>
  <c r="K16" i="17"/>
  <c r="J16" i="17"/>
  <c r="I16" i="17"/>
  <c r="H16" i="17"/>
  <c r="Y16" i="17" s="1"/>
  <c r="G16" i="17"/>
  <c r="F16" i="17"/>
  <c r="P13" i="17"/>
  <c r="O13" i="17"/>
  <c r="N13" i="17"/>
  <c r="M13" i="17"/>
  <c r="L13" i="17"/>
  <c r="K13" i="17"/>
  <c r="J13" i="17"/>
  <c r="I13" i="17"/>
  <c r="H13" i="17"/>
  <c r="G13" i="17"/>
  <c r="F13" i="17"/>
  <c r="AD12" i="17"/>
  <c r="AC12" i="17"/>
  <c r="AB12" i="17"/>
  <c r="AA12" i="17"/>
  <c r="Z12" i="17"/>
  <c r="Y12" i="17"/>
  <c r="X12" i="17"/>
  <c r="W12" i="17"/>
  <c r="V12" i="17"/>
  <c r="U12" i="17"/>
  <c r="T12" i="17"/>
  <c r="S12" i="17"/>
  <c r="R12" i="17"/>
  <c r="AD11" i="17"/>
  <c r="AC11" i="17"/>
  <c r="AC13" i="17" s="1"/>
  <c r="AB11" i="17"/>
  <c r="AA11" i="17"/>
  <c r="Z11" i="17"/>
  <c r="Y11" i="17"/>
  <c r="X11" i="17"/>
  <c r="W11" i="17"/>
  <c r="V11" i="17"/>
  <c r="U11" i="17"/>
  <c r="U13" i="17" s="1"/>
  <c r="T11" i="17"/>
  <c r="S11" i="17"/>
  <c r="R11" i="17"/>
  <c r="AD10" i="17"/>
  <c r="AC10" i="17"/>
  <c r="AB10" i="17"/>
  <c r="AA10" i="17"/>
  <c r="Z10" i="17"/>
  <c r="Y10" i="17"/>
  <c r="X10" i="17"/>
  <c r="W10" i="17"/>
  <c r="V10" i="17"/>
  <c r="U10" i="17"/>
  <c r="T10" i="17"/>
  <c r="S10" i="17"/>
  <c r="R10" i="17"/>
  <c r="AD9" i="17"/>
  <c r="AC9" i="17"/>
  <c r="AB9" i="17"/>
  <c r="AA9" i="17"/>
  <c r="Z9" i="17"/>
  <c r="Y9" i="17"/>
  <c r="X9" i="17"/>
  <c r="W9" i="17"/>
  <c r="V9" i="17"/>
  <c r="U9" i="17"/>
  <c r="T9" i="17"/>
  <c r="S9" i="17"/>
  <c r="R9" i="17"/>
  <c r="AD8" i="17"/>
  <c r="AC8" i="17"/>
  <c r="AB8" i="17"/>
  <c r="AA8" i="17"/>
  <c r="Z8" i="17"/>
  <c r="Y8" i="17"/>
  <c r="X8" i="17"/>
  <c r="W8" i="17"/>
  <c r="V8" i="17"/>
  <c r="U8" i="17"/>
  <c r="T8" i="17"/>
  <c r="S8" i="17"/>
  <c r="R8" i="17"/>
  <c r="AC7" i="17"/>
  <c r="AB7" i="17"/>
  <c r="AB13" i="17" s="1"/>
  <c r="AA7" i="17"/>
  <c r="AA13" i="17" s="1"/>
  <c r="Z7" i="17"/>
  <c r="Y7" i="17"/>
  <c r="Y13" i="17" s="1"/>
  <c r="X7" i="17"/>
  <c r="X13" i="17" s="1"/>
  <c r="W7" i="17"/>
  <c r="W13" i="17" s="1"/>
  <c r="V7" i="17"/>
  <c r="U7" i="17"/>
  <c r="T7" i="17"/>
  <c r="T13" i="17" s="1"/>
  <c r="S7" i="17"/>
  <c r="S13" i="17" s="1"/>
  <c r="Q7" i="17"/>
  <c r="S3" i="17"/>
  <c r="N31" i="14"/>
  <c r="L156" i="1" l="1"/>
  <c r="L22" i="1"/>
  <c r="L82" i="1"/>
  <c r="L133" i="1"/>
  <c r="L21" i="17"/>
  <c r="L22" i="17" s="1"/>
  <c r="O91" i="17"/>
  <c r="Y48" i="17"/>
  <c r="Y60" i="17"/>
  <c r="W16" i="17"/>
  <c r="M17" i="17"/>
  <c r="AC18" i="17"/>
  <c r="U35" i="17"/>
  <c r="S35" i="17"/>
  <c r="N78" i="17"/>
  <c r="J78" i="17"/>
  <c r="F78" i="17"/>
  <c r="P78" i="17"/>
  <c r="L78" i="17"/>
  <c r="H78" i="17"/>
  <c r="O78" i="17"/>
  <c r="G78" i="17"/>
  <c r="K78" i="17"/>
  <c r="Q78" i="17"/>
  <c r="I78" i="17"/>
  <c r="G17" i="17"/>
  <c r="T35" i="17"/>
  <c r="O36" i="17"/>
  <c r="H38" i="17"/>
  <c r="M78" i="17"/>
  <c r="AD16" i="17"/>
  <c r="Z16" i="17"/>
  <c r="V16" i="17"/>
  <c r="AB16" i="17"/>
  <c r="X16" i="17"/>
  <c r="T16" i="17"/>
  <c r="AA16" i="17"/>
  <c r="I17" i="17"/>
  <c r="AB18" i="17"/>
  <c r="X18" i="17"/>
  <c r="T18" i="17"/>
  <c r="Z18" i="17"/>
  <c r="V18" i="17"/>
  <c r="G19" i="17"/>
  <c r="G36" i="17"/>
  <c r="K38" i="17"/>
  <c r="P43" i="17"/>
  <c r="L43" i="17"/>
  <c r="H43" i="17"/>
  <c r="Q43" i="17"/>
  <c r="K43" i="17"/>
  <c r="F43" i="17"/>
  <c r="N43" i="17"/>
  <c r="I43" i="17"/>
  <c r="M43" i="17"/>
  <c r="G43" i="17"/>
  <c r="T63" i="17"/>
  <c r="S63" i="17"/>
  <c r="U63" i="17"/>
  <c r="N74" i="17"/>
  <c r="N81" i="17" s="1"/>
  <c r="J74" i="17"/>
  <c r="F74" i="17"/>
  <c r="P74" i="17"/>
  <c r="L74" i="17"/>
  <c r="H74" i="17"/>
  <c r="O74" i="17"/>
  <c r="G74" i="17"/>
  <c r="K74" i="17"/>
  <c r="Q74" i="17"/>
  <c r="Q81" i="17" s="1"/>
  <c r="I74" i="17"/>
  <c r="S106" i="17"/>
  <c r="U106" i="17"/>
  <c r="T106" i="17"/>
  <c r="AD7" i="17"/>
  <c r="AD13" i="17" s="1"/>
  <c r="R7" i="17"/>
  <c r="R13" i="17" s="1"/>
  <c r="R22" i="17" s="1"/>
  <c r="V13" i="17"/>
  <c r="Z13" i="17"/>
  <c r="Q13" i="17"/>
  <c r="U16" i="17"/>
  <c r="AC16" i="17"/>
  <c r="S18" i="17"/>
  <c r="I19" i="17"/>
  <c r="J43" i="17"/>
  <c r="P49" i="17"/>
  <c r="L49" i="17"/>
  <c r="H49" i="17"/>
  <c r="Q49" i="17"/>
  <c r="K49" i="17"/>
  <c r="F49" i="17"/>
  <c r="N49" i="17"/>
  <c r="I49" i="17"/>
  <c r="M49" i="17"/>
  <c r="G49" i="17"/>
  <c r="P55" i="17"/>
  <c r="L55" i="17"/>
  <c r="H55" i="17"/>
  <c r="H56" i="17" s="1"/>
  <c r="Q55" i="17"/>
  <c r="K55" i="17"/>
  <c r="F55" i="17"/>
  <c r="N55" i="17"/>
  <c r="I55" i="17"/>
  <c r="M55" i="17"/>
  <c r="G55" i="17"/>
  <c r="M61" i="17"/>
  <c r="M74" i="17"/>
  <c r="S104" i="17"/>
  <c r="P17" i="17"/>
  <c r="P21" i="17" s="1"/>
  <c r="P22" i="17" s="1"/>
  <c r="L17" i="17"/>
  <c r="H17" i="17"/>
  <c r="N17" i="17"/>
  <c r="N21" i="17" s="1"/>
  <c r="N22" i="17" s="1"/>
  <c r="J17" i="17"/>
  <c r="F17" i="17"/>
  <c r="U18" i="17"/>
  <c r="H21" i="17"/>
  <c r="H22" i="17" s="1"/>
  <c r="N38" i="17"/>
  <c r="J38" i="17"/>
  <c r="F38" i="17"/>
  <c r="Q38" i="17"/>
  <c r="L38" i="17"/>
  <c r="G38" i="17"/>
  <c r="O38" i="17"/>
  <c r="I38" i="17"/>
  <c r="M38" i="17"/>
  <c r="S46" i="17"/>
  <c r="N96" i="17"/>
  <c r="I21" i="17"/>
  <c r="I22" i="17" s="1"/>
  <c r="O17" i="17"/>
  <c r="O21" i="17" s="1"/>
  <c r="O22" i="17" s="1"/>
  <c r="N19" i="17"/>
  <c r="J19" i="17"/>
  <c r="F19" i="17"/>
  <c r="P19" i="17"/>
  <c r="L19" i="17"/>
  <c r="H19" i="17"/>
  <c r="P36" i="17"/>
  <c r="P41" i="17" s="1"/>
  <c r="L36" i="17"/>
  <c r="L41" i="17" s="1"/>
  <c r="H36" i="17"/>
  <c r="Q36" i="17"/>
  <c r="Q41" i="17" s="1"/>
  <c r="K36" i="17"/>
  <c r="K41" i="17" s="1"/>
  <c r="F36" i="17"/>
  <c r="N36" i="17"/>
  <c r="I36" i="17"/>
  <c r="T87" i="17"/>
  <c r="U87" i="17"/>
  <c r="X87" i="17"/>
  <c r="W94" i="17"/>
  <c r="S16" i="17"/>
  <c r="Q17" i="17"/>
  <c r="Q21" i="17" s="1"/>
  <c r="O19" i="17"/>
  <c r="N71" i="17"/>
  <c r="N47" i="17"/>
  <c r="N50" i="17" s="1"/>
  <c r="J47" i="17"/>
  <c r="F47" i="17"/>
  <c r="K47" i="17"/>
  <c r="P47" i="17"/>
  <c r="AD48" i="17"/>
  <c r="V48" i="17"/>
  <c r="W48" i="17"/>
  <c r="AB48" i="17"/>
  <c r="N53" i="17"/>
  <c r="J53" i="17"/>
  <c r="J56" i="17" s="1"/>
  <c r="F53" i="17"/>
  <c r="K53" i="17"/>
  <c r="K56" i="17" s="1"/>
  <c r="P53" i="17"/>
  <c r="P56" i="17" s="1"/>
  <c r="N59" i="17"/>
  <c r="N61" i="17" s="1"/>
  <c r="J59" i="17"/>
  <c r="J61" i="17" s="1"/>
  <c r="F59" i="17"/>
  <c r="K59" i="17"/>
  <c r="K61" i="17" s="1"/>
  <c r="P59" i="17"/>
  <c r="P61" i="17" s="1"/>
  <c r="AD60" i="17"/>
  <c r="V60" i="17"/>
  <c r="W60" i="17"/>
  <c r="AB60" i="17"/>
  <c r="R71" i="17"/>
  <c r="V69" i="17"/>
  <c r="T69" i="17"/>
  <c r="P76" i="17"/>
  <c r="L76" i="17"/>
  <c r="H76" i="17"/>
  <c r="N76" i="17"/>
  <c r="J76" i="17"/>
  <c r="F76" i="17"/>
  <c r="M76" i="17"/>
  <c r="S79" i="17"/>
  <c r="T80" i="17"/>
  <c r="S88" i="17"/>
  <c r="O95" i="17"/>
  <c r="K95" i="17"/>
  <c r="K96" i="17" s="1"/>
  <c r="G95" i="17"/>
  <c r="Q95" i="17"/>
  <c r="Q96" i="17" s="1"/>
  <c r="L95" i="17"/>
  <c r="F95" i="17"/>
  <c r="N95" i="17"/>
  <c r="I95" i="17"/>
  <c r="I96" i="17" s="1"/>
  <c r="P95" i="17"/>
  <c r="M115" i="17"/>
  <c r="I18" i="17"/>
  <c r="W18" i="17" s="1"/>
  <c r="M18" i="17"/>
  <c r="AD18" i="17" s="1"/>
  <c r="G20" i="17"/>
  <c r="G21" i="17" s="1"/>
  <c r="G22" i="17" s="1"/>
  <c r="K20" i="17"/>
  <c r="K21" i="17" s="1"/>
  <c r="K22" i="17" s="1"/>
  <c r="O20" i="17"/>
  <c r="R82" i="17"/>
  <c r="H39" i="17"/>
  <c r="N40" i="17"/>
  <c r="N41" i="17" s="1"/>
  <c r="J40" i="17"/>
  <c r="F40" i="17"/>
  <c r="K40" i="17"/>
  <c r="P40" i="17"/>
  <c r="O46" i="17"/>
  <c r="K46" i="17"/>
  <c r="G46" i="17"/>
  <c r="G50" i="17" s="1"/>
  <c r="J46" i="17"/>
  <c r="J50" i="17" s="1"/>
  <c r="P46" i="17"/>
  <c r="G47" i="17"/>
  <c r="L47" i="17"/>
  <c r="L50" i="17" s="1"/>
  <c r="Q47" i="17"/>
  <c r="Q50" i="17" s="1"/>
  <c r="S48" i="17"/>
  <c r="X48" i="17"/>
  <c r="AC48" i="17"/>
  <c r="G53" i="17"/>
  <c r="G56" i="17" s="1"/>
  <c r="L53" i="17"/>
  <c r="Q53" i="17"/>
  <c r="S54" i="17"/>
  <c r="G59" i="17"/>
  <c r="G61" i="17" s="1"/>
  <c r="L59" i="17"/>
  <c r="L61" i="17" s="1"/>
  <c r="Q59" i="17"/>
  <c r="Q61" i="17" s="1"/>
  <c r="S60" i="17"/>
  <c r="X60" i="17"/>
  <c r="AC60" i="17"/>
  <c r="O63" i="17"/>
  <c r="K63" i="17"/>
  <c r="G63" i="17"/>
  <c r="J63" i="17"/>
  <c r="X63" i="17" s="1"/>
  <c r="P63" i="17"/>
  <c r="H69" i="17"/>
  <c r="P70" i="17"/>
  <c r="P71" i="17" s="1"/>
  <c r="L70" i="17"/>
  <c r="L71" i="17" s="1"/>
  <c r="H70" i="17"/>
  <c r="N70" i="17"/>
  <c r="J70" i="17"/>
  <c r="F70" i="17"/>
  <c r="M70" i="17"/>
  <c r="G76" i="17"/>
  <c r="O76" i="17"/>
  <c r="U80" i="17"/>
  <c r="O89" i="17"/>
  <c r="K89" i="17"/>
  <c r="G89" i="17"/>
  <c r="Q89" i="17"/>
  <c r="Q91" i="17" s="1"/>
  <c r="L89" i="17"/>
  <c r="F89" i="17"/>
  <c r="N89" i="17"/>
  <c r="I89" i="17"/>
  <c r="P89" i="17"/>
  <c r="H95" i="17"/>
  <c r="Y99" i="17"/>
  <c r="Y101" i="17" s="1"/>
  <c r="T99" i="17"/>
  <c r="T101" i="17" s="1"/>
  <c r="G101" i="17"/>
  <c r="AC99" i="17"/>
  <c r="AC101" i="17" s="1"/>
  <c r="AB100" i="17"/>
  <c r="N113" i="17"/>
  <c r="J113" i="17"/>
  <c r="F113" i="17"/>
  <c r="P113" i="17"/>
  <c r="L113" i="17"/>
  <c r="H113" i="17"/>
  <c r="H119" i="17" s="1"/>
  <c r="O113" i="17"/>
  <c r="G113" i="17"/>
  <c r="K113" i="17"/>
  <c r="T114" i="17"/>
  <c r="U114" i="17"/>
  <c r="T108" i="17"/>
  <c r="S108" i="17"/>
  <c r="P115" i="17"/>
  <c r="L115" i="17"/>
  <c r="H115" i="17"/>
  <c r="N115" i="17"/>
  <c r="J115" i="17"/>
  <c r="F115" i="17"/>
  <c r="K115" i="17"/>
  <c r="O115" i="17"/>
  <c r="G115" i="17"/>
  <c r="Y125" i="17"/>
  <c r="T125" i="17"/>
  <c r="S125" i="17"/>
  <c r="W125" i="17"/>
  <c r="U125" i="17"/>
  <c r="AB140" i="17"/>
  <c r="X140" i="17"/>
  <c r="T140" i="17"/>
  <c r="AD140" i="17"/>
  <c r="Z140" i="17"/>
  <c r="V140" i="17"/>
  <c r="Y140" i="17"/>
  <c r="AA140" i="17"/>
  <c r="U140" i="17"/>
  <c r="W140" i="17"/>
  <c r="S140" i="17"/>
  <c r="I20" i="17"/>
  <c r="M20" i="17"/>
  <c r="M21" i="17" s="1"/>
  <c r="M22" i="17" s="1"/>
  <c r="J41" i="17"/>
  <c r="H50" i="17"/>
  <c r="I47" i="17"/>
  <c r="I50" i="17" s="1"/>
  <c r="O47" i="17"/>
  <c r="U48" i="17"/>
  <c r="I53" i="17"/>
  <c r="O53" i="17"/>
  <c r="O56" i="17" s="1"/>
  <c r="U54" i="17"/>
  <c r="I59" i="17"/>
  <c r="I61" i="17" s="1"/>
  <c r="O59" i="17"/>
  <c r="O61" i="17" s="1"/>
  <c r="U60" i="17"/>
  <c r="Q69" i="17"/>
  <c r="Q71" i="17" s="1"/>
  <c r="M69" i="17"/>
  <c r="M71" i="17" s="1"/>
  <c r="O69" i="17"/>
  <c r="O71" i="17" s="1"/>
  <c r="K69" i="17"/>
  <c r="K71" i="17" s="1"/>
  <c r="G69" i="17"/>
  <c r="J69" i="17"/>
  <c r="J71" i="17" s="1"/>
  <c r="S69" i="17"/>
  <c r="K76" i="17"/>
  <c r="V94" i="17"/>
  <c r="X94" i="17"/>
  <c r="S94" i="17"/>
  <c r="M95" i="17"/>
  <c r="M96" i="17" s="1"/>
  <c r="N105" i="17"/>
  <c r="N110" i="17" s="1"/>
  <c r="J105" i="17"/>
  <c r="F105" i="17"/>
  <c r="Q105" i="17"/>
  <c r="Q110" i="17" s="1"/>
  <c r="L105" i="17"/>
  <c r="G105" i="17"/>
  <c r="O105" i="17"/>
  <c r="I105" i="17"/>
  <c r="I110" i="17" s="1"/>
  <c r="P105" i="17"/>
  <c r="P107" i="17"/>
  <c r="L107" i="17"/>
  <c r="L110" i="17" s="1"/>
  <c r="H107" i="17"/>
  <c r="N107" i="17"/>
  <c r="I107" i="17"/>
  <c r="Q107" i="17"/>
  <c r="K107" i="17"/>
  <c r="F107" i="17"/>
  <c r="O107" i="17"/>
  <c r="U108" i="17"/>
  <c r="N109" i="17"/>
  <c r="J109" i="17"/>
  <c r="F109" i="17"/>
  <c r="Q109" i="17"/>
  <c r="L109" i="17"/>
  <c r="G109" i="17"/>
  <c r="O109" i="17"/>
  <c r="I109" i="17"/>
  <c r="P109" i="17"/>
  <c r="I115" i="17"/>
  <c r="X125" i="17"/>
  <c r="Q144" i="17"/>
  <c r="AC140" i="17"/>
  <c r="I35" i="17"/>
  <c r="I41" i="17" s="1"/>
  <c r="M35" i="17"/>
  <c r="M41" i="17" s="1"/>
  <c r="I48" i="17"/>
  <c r="Z48" i="17" s="1"/>
  <c r="M48" i="17"/>
  <c r="I54" i="17"/>
  <c r="W54" i="17" s="1"/>
  <c r="M54" i="17"/>
  <c r="M56" i="17" s="1"/>
  <c r="I60" i="17"/>
  <c r="Z60" i="17" s="1"/>
  <c r="M60" i="17"/>
  <c r="G75" i="17"/>
  <c r="Z75" i="17" s="1"/>
  <c r="K75" i="17"/>
  <c r="O75" i="17"/>
  <c r="G79" i="17"/>
  <c r="U79" i="17" s="1"/>
  <c r="K79" i="17"/>
  <c r="P79" i="17"/>
  <c r="N86" i="17"/>
  <c r="J86" i="17"/>
  <c r="J91" i="17" s="1"/>
  <c r="F86" i="17"/>
  <c r="K86" i="17"/>
  <c r="P86" i="17"/>
  <c r="Z87" i="17"/>
  <c r="G88" i="17"/>
  <c r="N90" i="17"/>
  <c r="J90" i="17"/>
  <c r="F90" i="17"/>
  <c r="K90" i="17"/>
  <c r="P90" i="17"/>
  <c r="G94" i="17"/>
  <c r="AD99" i="17"/>
  <c r="Z99" i="17"/>
  <c r="Z101" i="17" s="1"/>
  <c r="W99" i="17"/>
  <c r="W101" i="17" s="1"/>
  <c r="AB99" i="17"/>
  <c r="AB101" i="17" s="1"/>
  <c r="U100" i="17"/>
  <c r="U101" i="17" s="1"/>
  <c r="H104" i="17"/>
  <c r="H108" i="17"/>
  <c r="AB108" i="17" s="1"/>
  <c r="AA116" i="17"/>
  <c r="V116" i="17"/>
  <c r="AD116" i="17"/>
  <c r="X116" i="17"/>
  <c r="Z116" i="17"/>
  <c r="AC129" i="17"/>
  <c r="X129" i="17"/>
  <c r="AD129" i="17"/>
  <c r="V129" i="17"/>
  <c r="Z129" i="17"/>
  <c r="AB131" i="17"/>
  <c r="X131" i="17"/>
  <c r="T131" i="17"/>
  <c r="Z131" i="17"/>
  <c r="U131" i="17"/>
  <c r="AC131" i="17"/>
  <c r="V131" i="17"/>
  <c r="Y131" i="17"/>
  <c r="AA131" i="17"/>
  <c r="T142" i="17"/>
  <c r="U142" i="17"/>
  <c r="AC143" i="17"/>
  <c r="Y143" i="17"/>
  <c r="U143" i="17"/>
  <c r="AA143" i="17"/>
  <c r="W143" i="17"/>
  <c r="S143" i="17"/>
  <c r="X143" i="17"/>
  <c r="AD143" i="17"/>
  <c r="T143" i="17"/>
  <c r="Z143" i="17"/>
  <c r="I75" i="17"/>
  <c r="M75" i="17"/>
  <c r="I79" i="17"/>
  <c r="AB79" i="17" s="1"/>
  <c r="M79" i="17"/>
  <c r="P88" i="17"/>
  <c r="L88" i="17"/>
  <c r="L91" i="17" s="1"/>
  <c r="H88" i="17"/>
  <c r="H91" i="17" s="1"/>
  <c r="J88" i="17"/>
  <c r="O88" i="17"/>
  <c r="P94" i="17"/>
  <c r="P96" i="17" s="1"/>
  <c r="L94" i="17"/>
  <c r="L96" i="17" s="1"/>
  <c r="H94" i="17"/>
  <c r="J94" i="17"/>
  <c r="J96" i="17" s="1"/>
  <c r="O94" i="17"/>
  <c r="O96" i="17" s="1"/>
  <c r="AD100" i="17"/>
  <c r="Z100" i="17"/>
  <c r="V100" i="17"/>
  <c r="S100" i="17"/>
  <c r="S101" i="17" s="1"/>
  <c r="X100" i="17"/>
  <c r="AC100" i="17"/>
  <c r="O104" i="17"/>
  <c r="K104" i="17"/>
  <c r="G104" i="17"/>
  <c r="J104" i="17"/>
  <c r="P104" i="17"/>
  <c r="O108" i="17"/>
  <c r="K108" i="17"/>
  <c r="X108" i="17" s="1"/>
  <c r="G108" i="17"/>
  <c r="Z108" i="17" s="1"/>
  <c r="J108" i="17"/>
  <c r="P108" i="17"/>
  <c r="O117" i="17"/>
  <c r="K117" i="17"/>
  <c r="G117" i="17"/>
  <c r="Q117" i="17"/>
  <c r="Q119" i="17" s="1"/>
  <c r="L117" i="17"/>
  <c r="F117" i="17"/>
  <c r="N117" i="17"/>
  <c r="I117" i="17"/>
  <c r="P117" i="17"/>
  <c r="O154" i="17"/>
  <c r="K154" i="17"/>
  <c r="G154" i="17"/>
  <c r="N154" i="17"/>
  <c r="J154" i="17"/>
  <c r="F154" i="17"/>
  <c r="L154" i="17"/>
  <c r="P154" i="17"/>
  <c r="H154" i="17"/>
  <c r="M154" i="17"/>
  <c r="Q154" i="17"/>
  <c r="I154" i="17"/>
  <c r="I80" i="17"/>
  <c r="X80" i="17" s="1"/>
  <c r="M80" i="17"/>
  <c r="I87" i="17"/>
  <c r="M87" i="17"/>
  <c r="M91" i="17" s="1"/>
  <c r="R133" i="17"/>
  <c r="I99" i="17"/>
  <c r="M99" i="17"/>
  <c r="M101" i="17" s="1"/>
  <c r="I106" i="17"/>
  <c r="Z106" i="17" s="1"/>
  <c r="M106" i="17"/>
  <c r="M110" i="17" s="1"/>
  <c r="G114" i="17"/>
  <c r="K114" i="17"/>
  <c r="O114" i="17"/>
  <c r="N118" i="17"/>
  <c r="J118" i="17"/>
  <c r="F118" i="17"/>
  <c r="K118" i="17"/>
  <c r="P118" i="17"/>
  <c r="O123" i="17"/>
  <c r="K123" i="17"/>
  <c r="K132" i="17" s="1"/>
  <c r="G123" i="17"/>
  <c r="Q123" i="17"/>
  <c r="Q132" i="17" s="1"/>
  <c r="L123" i="17"/>
  <c r="F123" i="17"/>
  <c r="M123" i="17"/>
  <c r="I124" i="17"/>
  <c r="O127" i="17"/>
  <c r="K127" i="17"/>
  <c r="G127" i="17"/>
  <c r="Q127" i="17"/>
  <c r="L127" i="17"/>
  <c r="F127" i="17"/>
  <c r="M127" i="17"/>
  <c r="I128" i="17"/>
  <c r="AA129" i="17"/>
  <c r="X130" i="17"/>
  <c r="S130" i="17"/>
  <c r="N141" i="17"/>
  <c r="J141" i="17"/>
  <c r="F141" i="17"/>
  <c r="P141" i="17"/>
  <c r="L141" i="17"/>
  <c r="H141" i="17"/>
  <c r="O141" i="17"/>
  <c r="G141" i="17"/>
  <c r="Q141" i="17"/>
  <c r="U152" i="17"/>
  <c r="S152" i="17"/>
  <c r="T152" i="17"/>
  <c r="P163" i="17"/>
  <c r="P164" i="17" s="1"/>
  <c r="L163" i="17"/>
  <c r="L164" i="17" s="1"/>
  <c r="H163" i="17"/>
  <c r="H164" i="17" s="1"/>
  <c r="O163" i="17"/>
  <c r="O164" i="17" s="1"/>
  <c r="K163" i="17"/>
  <c r="G163" i="17"/>
  <c r="G164" i="17" s="1"/>
  <c r="J163" i="17"/>
  <c r="J164" i="17" s="1"/>
  <c r="N163" i="17"/>
  <c r="N164" i="17" s="1"/>
  <c r="F163" i="17"/>
  <c r="M163" i="17"/>
  <c r="M164" i="17" s="1"/>
  <c r="Q163" i="17"/>
  <c r="Q164" i="17" s="1"/>
  <c r="I114" i="17"/>
  <c r="I119" i="17" s="1"/>
  <c r="M114" i="17"/>
  <c r="M119" i="17" s="1"/>
  <c r="AC116" i="17"/>
  <c r="U122" i="17"/>
  <c r="V122" i="17"/>
  <c r="T122" i="17"/>
  <c r="N124" i="17"/>
  <c r="N132" i="17" s="1"/>
  <c r="J124" i="17"/>
  <c r="F124" i="17"/>
  <c r="M124" i="17"/>
  <c r="H124" i="17"/>
  <c r="L124" i="17"/>
  <c r="AC126" i="17"/>
  <c r="V126" i="17"/>
  <c r="T126" i="17"/>
  <c r="N128" i="17"/>
  <c r="J128" i="17"/>
  <c r="F128" i="17"/>
  <c r="M128" i="17"/>
  <c r="H128" i="17"/>
  <c r="L128" i="17"/>
  <c r="U130" i="17"/>
  <c r="T139" i="17"/>
  <c r="V139" i="17"/>
  <c r="U139" i="17"/>
  <c r="AC147" i="17"/>
  <c r="Y147" i="17"/>
  <c r="P149" i="17"/>
  <c r="P155" i="17" s="1"/>
  <c r="L149" i="17"/>
  <c r="H149" i="17"/>
  <c r="O149" i="17"/>
  <c r="O155" i="17" s="1"/>
  <c r="K149" i="17"/>
  <c r="K155" i="17" s="1"/>
  <c r="G149" i="17"/>
  <c r="J149" i="17"/>
  <c r="N149" i="17"/>
  <c r="F149" i="17"/>
  <c r="I149" i="17"/>
  <c r="AD161" i="17"/>
  <c r="Z161" i="17"/>
  <c r="V161" i="17"/>
  <c r="AC161" i="17"/>
  <c r="Y161" i="17"/>
  <c r="U161" i="17"/>
  <c r="AB161" i="17"/>
  <c r="X161" i="17"/>
  <c r="W161" i="17"/>
  <c r="AA161" i="17"/>
  <c r="P122" i="17"/>
  <c r="P132" i="17" s="1"/>
  <c r="L122" i="17"/>
  <c r="H122" i="17"/>
  <c r="J122" i="17"/>
  <c r="X122" i="17" s="1"/>
  <c r="O122" i="17"/>
  <c r="O132" i="17" s="1"/>
  <c r="P126" i="17"/>
  <c r="L126" i="17"/>
  <c r="H126" i="17"/>
  <c r="Y126" i="17" s="1"/>
  <c r="J126" i="17"/>
  <c r="O126" i="17"/>
  <c r="T137" i="17"/>
  <c r="P138" i="17"/>
  <c r="P144" i="17" s="1"/>
  <c r="L138" i="17"/>
  <c r="L144" i="17" s="1"/>
  <c r="H138" i="17"/>
  <c r="H144" i="17" s="1"/>
  <c r="N138" i="17"/>
  <c r="N144" i="17" s="1"/>
  <c r="J138" i="17"/>
  <c r="J144" i="17" s="1"/>
  <c r="F138" i="17"/>
  <c r="M138" i="17"/>
  <c r="AA147" i="17"/>
  <c r="AC148" i="17"/>
  <c r="Y148" i="17"/>
  <c r="U148" i="17"/>
  <c r="AB148" i="17"/>
  <c r="T148" i="17"/>
  <c r="X148" i="17"/>
  <c r="U153" i="17"/>
  <c r="T153" i="17"/>
  <c r="U116" i="17"/>
  <c r="Y116" i="17"/>
  <c r="I125" i="17"/>
  <c r="M125" i="17"/>
  <c r="S129" i="17"/>
  <c r="W129" i="17"/>
  <c r="I130" i="17"/>
  <c r="M130" i="17"/>
  <c r="G137" i="17"/>
  <c r="V137" i="17" s="1"/>
  <c r="K137" i="17"/>
  <c r="O137" i="17"/>
  <c r="I139" i="17"/>
  <c r="M139" i="17"/>
  <c r="G142" i="17"/>
  <c r="K142" i="17"/>
  <c r="O142" i="17"/>
  <c r="AD148" i="17"/>
  <c r="O150" i="17"/>
  <c r="K150" i="17"/>
  <c r="G150" i="17"/>
  <c r="G155" i="17" s="1"/>
  <c r="N150" i="17"/>
  <c r="J150" i="17"/>
  <c r="F150" i="17"/>
  <c r="M150" i="17"/>
  <c r="I153" i="17"/>
  <c r="I137" i="17"/>
  <c r="M137" i="17"/>
  <c r="I142" i="17"/>
  <c r="M142" i="17"/>
  <c r="P153" i="17"/>
  <c r="L153" i="17"/>
  <c r="L155" i="17" s="1"/>
  <c r="H153" i="17"/>
  <c r="H155" i="17" s="1"/>
  <c r="O153" i="17"/>
  <c r="K153" i="17"/>
  <c r="G153" i="17"/>
  <c r="M153" i="17"/>
  <c r="K164" i="17"/>
  <c r="I151" i="17"/>
  <c r="M151" i="17"/>
  <c r="Q151" i="17"/>
  <c r="Q155" i="17" s="1"/>
  <c r="F155" i="17"/>
  <c r="S147" i="17"/>
  <c r="W147" i="17"/>
  <c r="V148" i="17"/>
  <c r="Z148" i="17"/>
  <c r="F151" i="17"/>
  <c r="J151" i="17"/>
  <c r="I152" i="17"/>
  <c r="M152" i="17"/>
  <c r="L166" i="1" l="1"/>
  <c r="L167" i="1" s="1"/>
  <c r="AC149" i="17"/>
  <c r="Y149" i="17"/>
  <c r="U149" i="17"/>
  <c r="AB149" i="17"/>
  <c r="X149" i="17"/>
  <c r="T149" i="17"/>
  <c r="AA149" i="17"/>
  <c r="S149" i="17"/>
  <c r="W149" i="17"/>
  <c r="Z149" i="17"/>
  <c r="Z155" i="17" s="1"/>
  <c r="AD149" i="17"/>
  <c r="V149" i="17"/>
  <c r="AC163" i="17"/>
  <c r="Y163" i="17"/>
  <c r="U163" i="17"/>
  <c r="AB163" i="17"/>
  <c r="AB164" i="17" s="1"/>
  <c r="X163" i="17"/>
  <c r="X164" i="17" s="1"/>
  <c r="T163" i="17"/>
  <c r="T164" i="17" s="1"/>
  <c r="AA163" i="17"/>
  <c r="AA164" i="17" s="1"/>
  <c r="S163" i="17"/>
  <c r="S164" i="17" s="1"/>
  <c r="F164" i="17"/>
  <c r="W163" i="17"/>
  <c r="W164" i="17" s="1"/>
  <c r="AD163" i="17"/>
  <c r="V163" i="17"/>
  <c r="Z163" i="17"/>
  <c r="AB152" i="17"/>
  <c r="AD152" i="17"/>
  <c r="Y152" i="17"/>
  <c r="Z152" i="17"/>
  <c r="V152" i="17"/>
  <c r="W152" i="17"/>
  <c r="X152" i="17"/>
  <c r="H156" i="17"/>
  <c r="AA124" i="17"/>
  <c r="W124" i="17"/>
  <c r="S124" i="17"/>
  <c r="AD124" i="17"/>
  <c r="Y124" i="17"/>
  <c r="T124" i="17"/>
  <c r="AB124" i="17"/>
  <c r="U124" i="17"/>
  <c r="X124" i="17"/>
  <c r="Z124" i="17"/>
  <c r="V124" i="17"/>
  <c r="AC124" i="17"/>
  <c r="AC152" i="17"/>
  <c r="AA141" i="17"/>
  <c r="W141" i="17"/>
  <c r="S141" i="17"/>
  <c r="AC141" i="17"/>
  <c r="Y141" i="17"/>
  <c r="U141" i="17"/>
  <c r="X141" i="17"/>
  <c r="V141" i="17"/>
  <c r="AB141" i="17"/>
  <c r="AD141" i="17"/>
  <c r="T141" i="17"/>
  <c r="Z141" i="17"/>
  <c r="M132" i="17"/>
  <c r="M133" i="17" s="1"/>
  <c r="G132" i="17"/>
  <c r="Z142" i="17"/>
  <c r="AA142" i="17"/>
  <c r="V142" i="17"/>
  <c r="AC142" i="17"/>
  <c r="AB142" i="17"/>
  <c r="M155" i="17"/>
  <c r="Y139" i="17"/>
  <c r="AC139" i="17"/>
  <c r="W139" i="17"/>
  <c r="AD139" i="17"/>
  <c r="AB139" i="17"/>
  <c r="Z139" i="17"/>
  <c r="AA139" i="17"/>
  <c r="AD130" i="17"/>
  <c r="AB130" i="17"/>
  <c r="AC125" i="17"/>
  <c r="AD125" i="17"/>
  <c r="W153" i="17"/>
  <c r="AC138" i="17"/>
  <c r="Y138" i="17"/>
  <c r="U138" i="17"/>
  <c r="AA138" i="17"/>
  <c r="W138" i="17"/>
  <c r="S138" i="17"/>
  <c r="S144" i="17" s="1"/>
  <c r="AD138" i="17"/>
  <c r="V138" i="17"/>
  <c r="V144" i="17" s="1"/>
  <c r="X138" i="17"/>
  <c r="AB138" i="17"/>
  <c r="Z138" i="17"/>
  <c r="T138" i="17"/>
  <c r="T144" i="17" s="1"/>
  <c r="T156" i="17" s="1"/>
  <c r="F144" i="17"/>
  <c r="F156" i="17" s="1"/>
  <c r="L156" i="17"/>
  <c r="Z130" i="17"/>
  <c r="S71" i="17"/>
  <c r="AB153" i="17"/>
  <c r="V153" i="17"/>
  <c r="AC153" i="17"/>
  <c r="X153" i="17"/>
  <c r="Z153" i="17"/>
  <c r="AA153" i="17"/>
  <c r="Y153" i="17"/>
  <c r="Z125" i="17"/>
  <c r="AD153" i="17"/>
  <c r="P156" i="17"/>
  <c r="V164" i="17"/>
  <c r="X139" i="17"/>
  <c r="AA152" i="17"/>
  <c r="Q133" i="17"/>
  <c r="G144" i="17"/>
  <c r="G156" i="17" s="1"/>
  <c r="AC137" i="17"/>
  <c r="AC144" i="17" s="1"/>
  <c r="Y137" i="17"/>
  <c r="AA137" i="17"/>
  <c r="AA144" i="17" s="1"/>
  <c r="U137" i="17"/>
  <c r="AD137" i="17"/>
  <c r="AB137" i="17"/>
  <c r="W137" i="17"/>
  <c r="W144" i="17" s="1"/>
  <c r="Z137" i="17"/>
  <c r="X137" i="17"/>
  <c r="V71" i="17"/>
  <c r="G110" i="17"/>
  <c r="AC104" i="17"/>
  <c r="W88" i="17"/>
  <c r="F91" i="17"/>
  <c r="AA86" i="17"/>
  <c r="W86" i="17"/>
  <c r="S86" i="17"/>
  <c r="AD86" i="17"/>
  <c r="Y86" i="17"/>
  <c r="Y91" i="17" s="1"/>
  <c r="T86" i="17"/>
  <c r="AB86" i="17"/>
  <c r="V86" i="17"/>
  <c r="AC86" i="17"/>
  <c r="X86" i="17"/>
  <c r="U86" i="17"/>
  <c r="Z86" i="17"/>
  <c r="W80" i="17"/>
  <c r="Q156" i="17"/>
  <c r="V96" i="17"/>
  <c r="AC94" i="17"/>
  <c r="AC96" i="17" s="1"/>
  <c r="AD126" i="17"/>
  <c r="AA115" i="17"/>
  <c r="W115" i="17"/>
  <c r="Z115" i="17"/>
  <c r="U115" i="17"/>
  <c r="AC115" i="17"/>
  <c r="X115" i="17"/>
  <c r="S115" i="17"/>
  <c r="AD115" i="17"/>
  <c r="T115" i="17"/>
  <c r="Y115" i="17"/>
  <c r="AB115" i="17"/>
  <c r="V115" i="17"/>
  <c r="Y108" i="17"/>
  <c r="AA114" i="17"/>
  <c r="Z114" i="17"/>
  <c r="O119" i="17"/>
  <c r="O133" i="17" s="1"/>
  <c r="F119" i="17"/>
  <c r="AA113" i="17"/>
  <c r="W113" i="17"/>
  <c r="S113" i="17"/>
  <c r="S119" i="17" s="1"/>
  <c r="AC113" i="17"/>
  <c r="AC119" i="17" s="1"/>
  <c r="Y113" i="17"/>
  <c r="U113" i="17"/>
  <c r="X113" i="17"/>
  <c r="AB113" i="17"/>
  <c r="T113" i="17"/>
  <c r="AD113" i="17"/>
  <c r="Z113" i="17"/>
  <c r="V113" i="17"/>
  <c r="T88" i="17"/>
  <c r="AC70" i="17"/>
  <c r="Y70" i="17"/>
  <c r="U70" i="17"/>
  <c r="AA70" i="17"/>
  <c r="W70" i="17"/>
  <c r="S70" i="17"/>
  <c r="Z70" i="17"/>
  <c r="AD70" i="17"/>
  <c r="V70" i="17"/>
  <c r="AB70" i="17"/>
  <c r="T70" i="17"/>
  <c r="T71" i="17" s="1"/>
  <c r="X70" i="17"/>
  <c r="X54" i="17"/>
  <c r="AB95" i="17"/>
  <c r="X95" i="17"/>
  <c r="T95" i="17"/>
  <c r="AC95" i="17"/>
  <c r="W95" i="17"/>
  <c r="W96" i="17" s="1"/>
  <c r="Z95" i="17"/>
  <c r="U95" i="17"/>
  <c r="Y95" i="17"/>
  <c r="AD95" i="17"/>
  <c r="S95" i="17"/>
  <c r="S96" i="17" s="1"/>
  <c r="AA95" i="17"/>
  <c r="V95" i="17"/>
  <c r="AA88" i="17"/>
  <c r="AC80" i="17"/>
  <c r="V79" i="17"/>
  <c r="AD79" i="17"/>
  <c r="T75" i="17"/>
  <c r="F71" i="17"/>
  <c r="V54" i="17"/>
  <c r="G91" i="17"/>
  <c r="AC36" i="17"/>
  <c r="Y36" i="17"/>
  <c r="U36" i="17"/>
  <c r="AB36" i="17"/>
  <c r="W36" i="17"/>
  <c r="Z36" i="17"/>
  <c r="T36" i="17"/>
  <c r="S36" i="17"/>
  <c r="V36" i="17"/>
  <c r="AD36" i="17"/>
  <c r="AA36" i="17"/>
  <c r="X36" i="17"/>
  <c r="L82" i="17"/>
  <c r="Z46" i="17"/>
  <c r="X46" i="17"/>
  <c r="X50" i="17" s="1"/>
  <c r="AA38" i="17"/>
  <c r="W38" i="17"/>
  <c r="S38" i="17"/>
  <c r="AC38" i="17"/>
  <c r="X38" i="17"/>
  <c r="Z38" i="17"/>
  <c r="U38" i="17"/>
  <c r="AD38" i="17"/>
  <c r="Y38" i="17"/>
  <c r="T38" i="17"/>
  <c r="V38" i="17"/>
  <c r="AB38" i="17"/>
  <c r="W104" i="17"/>
  <c r="Y104" i="17"/>
  <c r="T104" i="17"/>
  <c r="M81" i="17"/>
  <c r="AC49" i="17"/>
  <c r="Y49" i="17"/>
  <c r="U49" i="17"/>
  <c r="AB49" i="17"/>
  <c r="W49" i="17"/>
  <c r="Z49" i="17"/>
  <c r="T49" i="17"/>
  <c r="AD49" i="17"/>
  <c r="X49" i="17"/>
  <c r="S49" i="17"/>
  <c r="AA49" i="17"/>
  <c r="V49" i="17"/>
  <c r="Y35" i="17"/>
  <c r="X20" i="17"/>
  <c r="AD20" i="17"/>
  <c r="R26" i="17"/>
  <c r="R30" i="17" s="1"/>
  <c r="R31" i="17" s="1"/>
  <c r="Q31" i="17" s="1"/>
  <c r="AD31" i="17" s="1"/>
  <c r="X106" i="17"/>
  <c r="AD106" i="17"/>
  <c r="K81" i="17"/>
  <c r="L81" i="17"/>
  <c r="AC63" i="17"/>
  <c r="AA63" i="17"/>
  <c r="AC43" i="17"/>
  <c r="Y43" i="17"/>
  <c r="U43" i="17"/>
  <c r="AB43" i="17"/>
  <c r="W43" i="17"/>
  <c r="Z43" i="17"/>
  <c r="T43" i="17"/>
  <c r="AD43" i="17"/>
  <c r="X43" i="17"/>
  <c r="S43" i="17"/>
  <c r="AA43" i="17"/>
  <c r="V43" i="17"/>
  <c r="W35" i="17"/>
  <c r="O41" i="17"/>
  <c r="X35" i="17"/>
  <c r="V35" i="17"/>
  <c r="J132" i="17"/>
  <c r="U164" i="17"/>
  <c r="Z164" i="17"/>
  <c r="N155" i="17"/>
  <c r="N156" i="17" s="1"/>
  <c r="AA126" i="17"/>
  <c r="Y122" i="17"/>
  <c r="AB127" i="17"/>
  <c r="X127" i="17"/>
  <c r="T127" i="17"/>
  <c r="AC127" i="17"/>
  <c r="W127" i="17"/>
  <c r="Y127" i="17"/>
  <c r="AA127" i="17"/>
  <c r="U127" i="17"/>
  <c r="AD127" i="17"/>
  <c r="V127" i="17"/>
  <c r="Z127" i="17"/>
  <c r="S127" i="17"/>
  <c r="AB123" i="17"/>
  <c r="X123" i="17"/>
  <c r="X132" i="17" s="1"/>
  <c r="T123" i="17"/>
  <c r="T132" i="17" s="1"/>
  <c r="AC123" i="17"/>
  <c r="W123" i="17"/>
  <c r="Y123" i="17"/>
  <c r="AA123" i="17"/>
  <c r="U123" i="17"/>
  <c r="U132" i="17" s="1"/>
  <c r="Z123" i="17"/>
  <c r="S123" i="17"/>
  <c r="AD123" i="17"/>
  <c r="V123" i="17"/>
  <c r="X126" i="17"/>
  <c r="K110" i="17"/>
  <c r="AD101" i="17"/>
  <c r="AA90" i="17"/>
  <c r="W90" i="17"/>
  <c r="S90" i="17"/>
  <c r="AD90" i="17"/>
  <c r="Y90" i="17"/>
  <c r="T90" i="17"/>
  <c r="AB90" i="17"/>
  <c r="V90" i="17"/>
  <c r="U90" i="17"/>
  <c r="Z90" i="17"/>
  <c r="X90" i="17"/>
  <c r="AC90" i="17"/>
  <c r="AB87" i="17"/>
  <c r="AD87" i="17"/>
  <c r="J133" i="17"/>
  <c r="V80" i="17"/>
  <c r="AA75" i="17"/>
  <c r="AA105" i="17"/>
  <c r="W105" i="17"/>
  <c r="S105" i="17"/>
  <c r="AC105" i="17"/>
  <c r="X105" i="17"/>
  <c r="Z105" i="17"/>
  <c r="U105" i="17"/>
  <c r="AB105" i="17"/>
  <c r="V105" i="17"/>
  <c r="AD105" i="17"/>
  <c r="T105" i="17"/>
  <c r="Y105" i="17"/>
  <c r="X96" i="17"/>
  <c r="AA94" i="17"/>
  <c r="AA96" i="17" s="1"/>
  <c r="Z88" i="17"/>
  <c r="AC75" i="17"/>
  <c r="W126" i="17"/>
  <c r="AD108" i="17"/>
  <c r="Y114" i="17"/>
  <c r="X114" i="17"/>
  <c r="AD114" i="17"/>
  <c r="J119" i="17"/>
  <c r="AB39" i="17"/>
  <c r="X39" i="17"/>
  <c r="AC39" i="17"/>
  <c r="W39" i="17"/>
  <c r="Z39" i="17"/>
  <c r="U39" i="17"/>
  <c r="U41" i="17" s="1"/>
  <c r="AD39" i="17"/>
  <c r="Y39" i="17"/>
  <c r="AA39" i="17"/>
  <c r="V39" i="17"/>
  <c r="AC20" i="17"/>
  <c r="AC21" i="17" s="1"/>
  <c r="AC22" i="17" s="1"/>
  <c r="U20" i="17"/>
  <c r="AA20" i="17"/>
  <c r="Y20" i="17"/>
  <c r="X88" i="17"/>
  <c r="U88" i="17"/>
  <c r="AC76" i="17"/>
  <c r="Y76" i="17"/>
  <c r="U76" i="17"/>
  <c r="AA76" i="17"/>
  <c r="W76" i="17"/>
  <c r="S76" i="17"/>
  <c r="AB76" i="17"/>
  <c r="T76" i="17"/>
  <c r="X76" i="17"/>
  <c r="AD76" i="17"/>
  <c r="V76" i="17"/>
  <c r="Z76" i="17"/>
  <c r="X75" i="17"/>
  <c r="AD75" i="17"/>
  <c r="Z54" i="17"/>
  <c r="AA53" i="17"/>
  <c r="W53" i="17"/>
  <c r="S53" i="17"/>
  <c r="Z53" i="17"/>
  <c r="Z56" i="17" s="1"/>
  <c r="U53" i="17"/>
  <c r="F56" i="17"/>
  <c r="AC53" i="17"/>
  <c r="AC56" i="17" s="1"/>
  <c r="X53" i="17"/>
  <c r="X56" i="17" s="1"/>
  <c r="AB53" i="17"/>
  <c r="V53" i="17"/>
  <c r="AD53" i="17"/>
  <c r="Y53" i="17"/>
  <c r="T53" i="17"/>
  <c r="AA19" i="17"/>
  <c r="W19" i="17"/>
  <c r="S19" i="17"/>
  <c r="AC19" i="17"/>
  <c r="Y19" i="17"/>
  <c r="U19" i="17"/>
  <c r="AD19" i="17"/>
  <c r="V19" i="17"/>
  <c r="AB19" i="17"/>
  <c r="Z19" i="17"/>
  <c r="X19" i="17"/>
  <c r="X21" i="17" s="1"/>
  <c r="X22" i="17" s="1"/>
  <c r="T19" i="17"/>
  <c r="V46" i="17"/>
  <c r="Y46" i="17"/>
  <c r="Y50" i="17" s="1"/>
  <c r="AB46" i="17"/>
  <c r="AB106" i="17"/>
  <c r="Z104" i="17"/>
  <c r="Z110" i="17" s="1"/>
  <c r="AD104" i="17"/>
  <c r="X104" i="17"/>
  <c r="F21" i="17"/>
  <c r="F22" i="17" s="1"/>
  <c r="AB20" i="17"/>
  <c r="U21" i="17"/>
  <c r="U22" i="17" s="1"/>
  <c r="Q22" i="17"/>
  <c r="AC106" i="17"/>
  <c r="G81" i="17"/>
  <c r="P81" i="17"/>
  <c r="H41" i="17"/>
  <c r="AD21" i="17"/>
  <c r="AD22" i="17" s="1"/>
  <c r="T41" i="17"/>
  <c r="AB35" i="17"/>
  <c r="AC35" i="17"/>
  <c r="Z35" i="17"/>
  <c r="Z41" i="17" s="1"/>
  <c r="M144" i="17"/>
  <c r="M156" i="17" s="1"/>
  <c r="AB150" i="17"/>
  <c r="AB155" i="17" s="1"/>
  <c r="X150" i="17"/>
  <c r="T150" i="17"/>
  <c r="T155" i="17" s="1"/>
  <c r="AA150" i="17"/>
  <c r="W150" i="17"/>
  <c r="W155" i="17" s="1"/>
  <c r="S150" i="17"/>
  <c r="Z150" i="17"/>
  <c r="AD150" i="17"/>
  <c r="AD155" i="17" s="1"/>
  <c r="V150" i="17"/>
  <c r="V155" i="17" s="1"/>
  <c r="U150" i="17"/>
  <c r="AC150" i="17"/>
  <c r="Y150" i="17"/>
  <c r="Y155" i="17" s="1"/>
  <c r="O144" i="17"/>
  <c r="O156" i="17" s="1"/>
  <c r="W130" i="17"/>
  <c r="AA130" i="17"/>
  <c r="AA155" i="17"/>
  <c r="H132" i="17"/>
  <c r="AD122" i="17"/>
  <c r="W122" i="17"/>
  <c r="Y164" i="17"/>
  <c r="AD164" i="17"/>
  <c r="J155" i="17"/>
  <c r="J156" i="17" s="1"/>
  <c r="AB126" i="17"/>
  <c r="U126" i="17"/>
  <c r="AA122" i="17"/>
  <c r="AC122" i="17"/>
  <c r="AC130" i="17"/>
  <c r="AA118" i="17"/>
  <c r="W118" i="17"/>
  <c r="S118" i="17"/>
  <c r="AD118" i="17"/>
  <c r="Y118" i="17"/>
  <c r="T118" i="17"/>
  <c r="AB118" i="17"/>
  <c r="V118" i="17"/>
  <c r="Z118" i="17"/>
  <c r="U118" i="17"/>
  <c r="AC118" i="17"/>
  <c r="X118" i="17"/>
  <c r="I91" i="17"/>
  <c r="P110" i="17"/>
  <c r="O110" i="17"/>
  <c r="Z122" i="17"/>
  <c r="G96" i="17"/>
  <c r="T94" i="17"/>
  <c r="T96" i="17" s="1"/>
  <c r="Z94" i="17"/>
  <c r="W87" i="17"/>
  <c r="P91" i="17"/>
  <c r="P133" i="17" s="1"/>
  <c r="N91" i="17"/>
  <c r="Z80" i="17"/>
  <c r="M50" i="17"/>
  <c r="M82" i="17" s="1"/>
  <c r="AA109" i="17"/>
  <c r="W109" i="17"/>
  <c r="S109" i="17"/>
  <c r="AC109" i="17"/>
  <c r="X109" i="17"/>
  <c r="Z109" i="17"/>
  <c r="U109" i="17"/>
  <c r="AB109" i="17"/>
  <c r="Y109" i="17"/>
  <c r="V109" i="17"/>
  <c r="AD109" i="17"/>
  <c r="T109" i="17"/>
  <c r="AB94" i="17"/>
  <c r="AB96" i="17" s="1"/>
  <c r="AD94" i="17"/>
  <c r="U94" i="17"/>
  <c r="U96" i="17" s="1"/>
  <c r="AA80" i="17"/>
  <c r="U75" i="17"/>
  <c r="G71" i="17"/>
  <c r="Y69" i="17"/>
  <c r="I56" i="17"/>
  <c r="I82" i="17" s="1"/>
  <c r="AB125" i="17"/>
  <c r="V125" i="17"/>
  <c r="V132" i="17" s="1"/>
  <c r="AC108" i="17"/>
  <c r="V108" i="17"/>
  <c r="AB114" i="17"/>
  <c r="K119" i="17"/>
  <c r="L119" i="17"/>
  <c r="L133" i="17" s="1"/>
  <c r="N119" i="17"/>
  <c r="AB89" i="17"/>
  <c r="X89" i="17"/>
  <c r="T89" i="17"/>
  <c r="AC89" i="17"/>
  <c r="W89" i="17"/>
  <c r="Z89" i="17"/>
  <c r="U89" i="17"/>
  <c r="V89" i="17"/>
  <c r="AA89" i="17"/>
  <c r="Y89" i="17"/>
  <c r="AD89" i="17"/>
  <c r="S89" i="17"/>
  <c r="Y75" i="17"/>
  <c r="W69" i="17"/>
  <c r="W71" i="17" s="1"/>
  <c r="W63" i="17"/>
  <c r="Q56" i="17"/>
  <c r="K50" i="17"/>
  <c r="K82" i="17" s="1"/>
  <c r="AA40" i="17"/>
  <c r="W40" i="17"/>
  <c r="S40" i="17"/>
  <c r="AD40" i="17"/>
  <c r="Y40" i="17"/>
  <c r="T40" i="17"/>
  <c r="AB40" i="17"/>
  <c r="V40" i="17"/>
  <c r="Z40" i="17"/>
  <c r="U40" i="17"/>
  <c r="AC40" i="17"/>
  <c r="X40" i="17"/>
  <c r="R166" i="17"/>
  <c r="AD88" i="17"/>
  <c r="Y88" i="17"/>
  <c r="Y80" i="17"/>
  <c r="T79" i="17"/>
  <c r="W79" i="17"/>
  <c r="AB75" i="17"/>
  <c r="AC69" i="17"/>
  <c r="AC71" i="17" s="1"/>
  <c r="X69" i="17"/>
  <c r="X71" i="17" s="1"/>
  <c r="Z69" i="17"/>
  <c r="AB54" i="17"/>
  <c r="AD54" i="17"/>
  <c r="AA87" i="17"/>
  <c r="Y87" i="17"/>
  <c r="Q82" i="17"/>
  <c r="Q166" i="17" s="1"/>
  <c r="AC46" i="17"/>
  <c r="AA46" i="17"/>
  <c r="AD46" i="17"/>
  <c r="AC17" i="17"/>
  <c r="Y17" i="17"/>
  <c r="Y21" i="17" s="1"/>
  <c r="Y22" i="17" s="1"/>
  <c r="U17" i="17"/>
  <c r="AA17" i="17"/>
  <c r="W17" i="17"/>
  <c r="S17" i="17"/>
  <c r="V17" i="17"/>
  <c r="AB17" i="17"/>
  <c r="T17" i="17"/>
  <c r="T21" i="17" s="1"/>
  <c r="T22" i="17" s="1"/>
  <c r="Z17" i="17"/>
  <c r="Z21" i="17" s="1"/>
  <c r="Z22" i="17" s="1"/>
  <c r="X17" i="17"/>
  <c r="AD17" i="17"/>
  <c r="U104" i="17"/>
  <c r="V104" i="17"/>
  <c r="AB104" i="17"/>
  <c r="AC55" i="17"/>
  <c r="Y55" i="17"/>
  <c r="U55" i="17"/>
  <c r="AB55" i="17"/>
  <c r="W55" i="17"/>
  <c r="Z55" i="17"/>
  <c r="T55" i="17"/>
  <c r="AD55" i="17"/>
  <c r="X55" i="17"/>
  <c r="S55" i="17"/>
  <c r="V55" i="17"/>
  <c r="AA55" i="17"/>
  <c r="W20" i="17"/>
  <c r="V20" i="17"/>
  <c r="AA18" i="17"/>
  <c r="AA21" i="17" s="1"/>
  <c r="AA22" i="17" s="1"/>
  <c r="W106" i="17"/>
  <c r="AA106" i="17"/>
  <c r="V106" i="17"/>
  <c r="I81" i="17"/>
  <c r="O81" i="17"/>
  <c r="F81" i="17"/>
  <c r="AA74" i="17"/>
  <c r="AA81" i="17" s="1"/>
  <c r="W74" i="17"/>
  <c r="S74" i="17"/>
  <c r="AC74" i="17"/>
  <c r="Y74" i="17"/>
  <c r="Y81" i="17" s="1"/>
  <c r="U74" i="17"/>
  <c r="X74" i="17"/>
  <c r="AB74" i="17"/>
  <c r="T74" i="17"/>
  <c r="T81" i="17" s="1"/>
  <c r="Z74" i="17"/>
  <c r="AD74" i="17"/>
  <c r="V74" i="17"/>
  <c r="Z63" i="17"/>
  <c r="Y63" i="17"/>
  <c r="AB63" i="17"/>
  <c r="AB21" i="17"/>
  <c r="AB22" i="17" s="1"/>
  <c r="Z126" i="17"/>
  <c r="AA78" i="17"/>
  <c r="W78" i="17"/>
  <c r="S78" i="17"/>
  <c r="AC78" i="17"/>
  <c r="Y78" i="17"/>
  <c r="U78" i="17"/>
  <c r="X78" i="17"/>
  <c r="AB78" i="17"/>
  <c r="T78" i="17"/>
  <c r="Z78" i="17"/>
  <c r="AD78" i="17"/>
  <c r="V78" i="17"/>
  <c r="AD35" i="17"/>
  <c r="W21" i="17"/>
  <c r="W22" i="17" s="1"/>
  <c r="Y54" i="17"/>
  <c r="AA151" i="17"/>
  <c r="W151" i="17"/>
  <c r="S151" i="17"/>
  <c r="S155" i="17" s="1"/>
  <c r="AD151" i="17"/>
  <c r="Z151" i="17"/>
  <c r="V151" i="17"/>
  <c r="X151" i="17"/>
  <c r="X155" i="17" s="1"/>
  <c r="AB151" i="17"/>
  <c r="T151" i="17"/>
  <c r="Y151" i="17"/>
  <c r="AC151" i="17"/>
  <c r="AC155" i="17" s="1"/>
  <c r="U151" i="17"/>
  <c r="I144" i="17"/>
  <c r="Y142" i="17"/>
  <c r="K144" i="17"/>
  <c r="K156" i="17" s="1"/>
  <c r="L132" i="17"/>
  <c r="AC164" i="17"/>
  <c r="I155" i="17"/>
  <c r="AA128" i="17"/>
  <c r="W128" i="17"/>
  <c r="S128" i="17"/>
  <c r="AD128" i="17"/>
  <c r="Y128" i="17"/>
  <c r="T128" i="17"/>
  <c r="AB128" i="17"/>
  <c r="U128" i="17"/>
  <c r="X128" i="17"/>
  <c r="AC128" i="17"/>
  <c r="V128" i="17"/>
  <c r="Z128" i="17"/>
  <c r="AB122" i="17"/>
  <c r="F132" i="17"/>
  <c r="Y130" i="17"/>
  <c r="V130" i="17"/>
  <c r="I132" i="17"/>
  <c r="W114" i="17"/>
  <c r="I101" i="17"/>
  <c r="X99" i="17"/>
  <c r="X101" i="17" s="1"/>
  <c r="AA99" i="17"/>
  <c r="AA101" i="17" s="1"/>
  <c r="AB154" i="17"/>
  <c r="X154" i="17"/>
  <c r="T154" i="17"/>
  <c r="AA154" i="17"/>
  <c r="W154" i="17"/>
  <c r="S154" i="17"/>
  <c r="AC154" i="17"/>
  <c r="U154" i="17"/>
  <c r="Y154" i="17"/>
  <c r="AD154" i="17"/>
  <c r="Z154" i="17"/>
  <c r="V154" i="17"/>
  <c r="AB117" i="17"/>
  <c r="X117" i="17"/>
  <c r="T117" i="17"/>
  <c r="AC117" i="17"/>
  <c r="W117" i="17"/>
  <c r="Z117" i="17"/>
  <c r="U117" i="17"/>
  <c r="AA117" i="17"/>
  <c r="V117" i="17"/>
  <c r="AD117" i="17"/>
  <c r="Y117" i="17"/>
  <c r="S117" i="17"/>
  <c r="J110" i="17"/>
  <c r="H96" i="17"/>
  <c r="H133" i="17" s="1"/>
  <c r="W142" i="17"/>
  <c r="X142" i="17"/>
  <c r="AD142" i="17"/>
  <c r="H110" i="17"/>
  <c r="V99" i="17"/>
  <c r="V101" i="17" s="1"/>
  <c r="V87" i="17"/>
  <c r="K91" i="17"/>
  <c r="AB80" i="17"/>
  <c r="AD80" i="17"/>
  <c r="AC107" i="17"/>
  <c r="Y107" i="17"/>
  <c r="U107" i="17"/>
  <c r="Z107" i="17"/>
  <c r="T107" i="17"/>
  <c r="AB107" i="17"/>
  <c r="W107" i="17"/>
  <c r="AA107" i="17"/>
  <c r="X107" i="17"/>
  <c r="V107" i="17"/>
  <c r="AD107" i="17"/>
  <c r="S107" i="17"/>
  <c r="F96" i="17"/>
  <c r="Y94" i="17"/>
  <c r="Y96" i="17" s="1"/>
  <c r="X79" i="17"/>
  <c r="AA69" i="17"/>
  <c r="AA71" i="17" s="1"/>
  <c r="AA60" i="17"/>
  <c r="AA54" i="17"/>
  <c r="AA48" i="17"/>
  <c r="AA125" i="17"/>
  <c r="AA108" i="17"/>
  <c r="AC114" i="17"/>
  <c r="V114" i="17"/>
  <c r="G119" i="17"/>
  <c r="P119" i="17"/>
  <c r="AC79" i="17"/>
  <c r="H71" i="17"/>
  <c r="AC54" i="17"/>
  <c r="L56" i="17"/>
  <c r="P50" i="17"/>
  <c r="P82" i="17" s="1"/>
  <c r="P166" i="17" s="1"/>
  <c r="P167" i="17" s="1"/>
  <c r="O50" i="17"/>
  <c r="W108" i="17"/>
  <c r="AB88" i="17"/>
  <c r="V88" i="17"/>
  <c r="AC88" i="17"/>
  <c r="Z79" i="17"/>
  <c r="Y79" i="17"/>
  <c r="AA79" i="17"/>
  <c r="W75" i="17"/>
  <c r="V75" i="17"/>
  <c r="U69" i="17"/>
  <c r="AB69" i="17"/>
  <c r="AB71" i="17" s="1"/>
  <c r="AD69" i="17"/>
  <c r="AD71" i="17" s="1"/>
  <c r="AA59" i="17"/>
  <c r="AA61" i="17" s="1"/>
  <c r="W59" i="17"/>
  <c r="W61" i="17" s="1"/>
  <c r="S59" i="17"/>
  <c r="S61" i="17" s="1"/>
  <c r="Z59" i="17"/>
  <c r="Z61" i="17" s="1"/>
  <c r="U59" i="17"/>
  <c r="U61" i="17" s="1"/>
  <c r="AC59" i="17"/>
  <c r="AC61" i="17" s="1"/>
  <c r="X59" i="17"/>
  <c r="X61" i="17" s="1"/>
  <c r="AB59" i="17"/>
  <c r="AB61" i="17" s="1"/>
  <c r="V59" i="17"/>
  <c r="V61" i="17" s="1"/>
  <c r="T59" i="17"/>
  <c r="T61" i="17" s="1"/>
  <c r="F61" i="17"/>
  <c r="AD59" i="17"/>
  <c r="AD61" i="17" s="1"/>
  <c r="Y59" i="17"/>
  <c r="Y61" i="17" s="1"/>
  <c r="N56" i="17"/>
  <c r="N82" i="17" s="1"/>
  <c r="AA47" i="17"/>
  <c r="W47" i="17"/>
  <c r="S47" i="17"/>
  <c r="S50" i="17" s="1"/>
  <c r="Z47" i="17"/>
  <c r="U47" i="17"/>
  <c r="AC47" i="17"/>
  <c r="X47" i="17"/>
  <c r="AB47" i="17"/>
  <c r="V47" i="17"/>
  <c r="T47" i="17"/>
  <c r="AD47" i="17"/>
  <c r="Y47" i="17"/>
  <c r="AC87" i="17"/>
  <c r="S21" i="17"/>
  <c r="S22" i="17" s="1"/>
  <c r="U46" i="17"/>
  <c r="F50" i="17"/>
  <c r="T46" i="17"/>
  <c r="J21" i="17"/>
  <c r="J22" i="17" s="1"/>
  <c r="S110" i="17"/>
  <c r="AA104" i="17"/>
  <c r="F110" i="17"/>
  <c r="T20" i="17"/>
  <c r="Z20" i="17"/>
  <c r="Y106" i="17"/>
  <c r="H81" i="17"/>
  <c r="J81" i="17"/>
  <c r="J82" i="17" s="1"/>
  <c r="V63" i="17"/>
  <c r="AD63" i="17"/>
  <c r="G41" i="17"/>
  <c r="G82" i="17" s="1"/>
  <c r="Y18" i="17"/>
  <c r="V21" i="17"/>
  <c r="V22" i="17" s="1"/>
  <c r="S41" i="17"/>
  <c r="AA35" i="17"/>
  <c r="F41" i="17"/>
  <c r="W46" i="17"/>
  <c r="Z164" i="6"/>
  <c r="Y164" i="6"/>
  <c r="Q164" i="6"/>
  <c r="P164" i="6"/>
  <c r="O164" i="6"/>
  <c r="N164" i="6"/>
  <c r="M164" i="6"/>
  <c r="L164" i="6"/>
  <c r="K164" i="6"/>
  <c r="J164" i="6"/>
  <c r="I164" i="6"/>
  <c r="H164" i="6"/>
  <c r="G164" i="6"/>
  <c r="F164" i="6"/>
  <c r="AD163" i="6"/>
  <c r="AC163" i="6"/>
  <c r="AB163" i="6"/>
  <c r="AA163" i="6"/>
  <c r="Z163" i="6"/>
  <c r="Y163" i="6"/>
  <c r="X163" i="6"/>
  <c r="W163" i="6"/>
  <c r="V163" i="6"/>
  <c r="U163" i="6"/>
  <c r="T163" i="6"/>
  <c r="S163" i="6"/>
  <c r="R163" i="6"/>
  <c r="AD162" i="6"/>
  <c r="AC162" i="6"/>
  <c r="AB162" i="6"/>
  <c r="AA162" i="6"/>
  <c r="Z162" i="6"/>
  <c r="Y162" i="6"/>
  <c r="X162" i="6"/>
  <c r="W162" i="6"/>
  <c r="V162" i="6"/>
  <c r="U162" i="6"/>
  <c r="T162" i="6"/>
  <c r="S162" i="6"/>
  <c r="R162" i="6"/>
  <c r="AD161" i="6"/>
  <c r="AC161" i="6"/>
  <c r="AB161" i="6"/>
  <c r="AA161" i="6"/>
  <c r="Z161" i="6"/>
  <c r="Y161" i="6"/>
  <c r="X161" i="6"/>
  <c r="W161" i="6"/>
  <c r="V161" i="6"/>
  <c r="U161" i="6"/>
  <c r="T161" i="6"/>
  <c r="S161" i="6"/>
  <c r="R161" i="6"/>
  <c r="AD160" i="6"/>
  <c r="AD164" i="6" s="1"/>
  <c r="AC160" i="6"/>
  <c r="AC164" i="6" s="1"/>
  <c r="AB160" i="6"/>
  <c r="AA160" i="6"/>
  <c r="Z160" i="6"/>
  <c r="Y160" i="6"/>
  <c r="X160" i="6"/>
  <c r="W160" i="6"/>
  <c r="V160" i="6"/>
  <c r="V164" i="6" s="1"/>
  <c r="U160" i="6"/>
  <c r="U164" i="6" s="1"/>
  <c r="T160" i="6"/>
  <c r="S160" i="6"/>
  <c r="R160" i="6"/>
  <c r="R164" i="6" s="1"/>
  <c r="O156" i="6"/>
  <c r="N156" i="6"/>
  <c r="J156" i="6"/>
  <c r="G156" i="6"/>
  <c r="F156" i="6"/>
  <c r="W155" i="6"/>
  <c r="Q155" i="6"/>
  <c r="P155" i="6"/>
  <c r="O155" i="6"/>
  <c r="N155" i="6"/>
  <c r="M155" i="6"/>
  <c r="L155" i="6"/>
  <c r="K155" i="6"/>
  <c r="K156" i="6" s="1"/>
  <c r="J155" i="6"/>
  <c r="I155" i="6"/>
  <c r="H155" i="6"/>
  <c r="G155" i="6"/>
  <c r="F155" i="6"/>
  <c r="AD154" i="6"/>
  <c r="AC154" i="6"/>
  <c r="AB154" i="6"/>
  <c r="AA154" i="6"/>
  <c r="Z154" i="6"/>
  <c r="Y154" i="6"/>
  <c r="X154" i="6"/>
  <c r="W154" i="6"/>
  <c r="V154" i="6"/>
  <c r="U154" i="6"/>
  <c r="T154" i="6"/>
  <c r="S154" i="6"/>
  <c r="R154" i="6"/>
  <c r="AD153" i="6"/>
  <c r="AC153" i="6"/>
  <c r="AB153" i="6"/>
  <c r="AA153" i="6"/>
  <c r="Z153" i="6"/>
  <c r="Y153" i="6"/>
  <c r="X153" i="6"/>
  <c r="W153" i="6"/>
  <c r="V153" i="6"/>
  <c r="U153" i="6"/>
  <c r="T153" i="6"/>
  <c r="S153" i="6"/>
  <c r="R153" i="6"/>
  <c r="AD152" i="6"/>
  <c r="AC152" i="6"/>
  <c r="AB152" i="6"/>
  <c r="AA152" i="6"/>
  <c r="Z152" i="6"/>
  <c r="Y152" i="6"/>
  <c r="X152" i="6"/>
  <c r="W152" i="6"/>
  <c r="V152" i="6"/>
  <c r="U152" i="6"/>
  <c r="T152" i="6"/>
  <c r="S152" i="6"/>
  <c r="R152" i="6"/>
  <c r="AD151" i="6"/>
  <c r="AC151" i="6"/>
  <c r="AB151" i="6"/>
  <c r="AA151" i="6"/>
  <c r="Z151" i="6"/>
  <c r="Y151" i="6"/>
  <c r="X151" i="6"/>
  <c r="W151" i="6"/>
  <c r="V151" i="6"/>
  <c r="U151" i="6"/>
  <c r="T151" i="6"/>
  <c r="S151" i="6"/>
  <c r="R151" i="6"/>
  <c r="AD150" i="6"/>
  <c r="AC150" i="6"/>
  <c r="AB150" i="6"/>
  <c r="AA150" i="6"/>
  <c r="Z150" i="6"/>
  <c r="Y150" i="6"/>
  <c r="X150" i="6"/>
  <c r="W150" i="6"/>
  <c r="V150" i="6"/>
  <c r="U150" i="6"/>
  <c r="T150" i="6"/>
  <c r="S150" i="6"/>
  <c r="R150" i="6"/>
  <c r="AD149" i="6"/>
  <c r="AC149" i="6"/>
  <c r="AB149" i="6"/>
  <c r="AA149" i="6"/>
  <c r="Z149" i="6"/>
  <c r="Y149" i="6"/>
  <c r="X149" i="6"/>
  <c r="W149" i="6"/>
  <c r="V149" i="6"/>
  <c r="U149" i="6"/>
  <c r="T149" i="6"/>
  <c r="S149" i="6"/>
  <c r="R149" i="6"/>
  <c r="AD148" i="6"/>
  <c r="AC148" i="6"/>
  <c r="AB148" i="6"/>
  <c r="AA148" i="6"/>
  <c r="Z148" i="6"/>
  <c r="Y148" i="6"/>
  <c r="X148" i="6"/>
  <c r="W148" i="6"/>
  <c r="V148" i="6"/>
  <c r="U148" i="6"/>
  <c r="T148" i="6"/>
  <c r="S148" i="6"/>
  <c r="R148" i="6"/>
  <c r="AD147" i="6"/>
  <c r="AC147" i="6"/>
  <c r="AC155" i="6" s="1"/>
  <c r="AB147" i="6"/>
  <c r="AB155" i="6" s="1"/>
  <c r="AA147" i="6"/>
  <c r="Z147" i="6"/>
  <c r="Y147" i="6"/>
  <c r="Y155" i="6" s="1"/>
  <c r="X147" i="6"/>
  <c r="X155" i="6" s="1"/>
  <c r="W147" i="6"/>
  <c r="V147" i="6"/>
  <c r="U147" i="6"/>
  <c r="U155" i="6" s="1"/>
  <c r="T147" i="6"/>
  <c r="T155" i="6" s="1"/>
  <c r="S147" i="6"/>
  <c r="R147" i="6"/>
  <c r="AC144" i="6"/>
  <c r="AC156" i="6" s="1"/>
  <c r="AB144" i="6"/>
  <c r="AB156" i="6" s="1"/>
  <c r="U144" i="6"/>
  <c r="T144" i="6"/>
  <c r="T156" i="6" s="1"/>
  <c r="Q144" i="6"/>
  <c r="Q156" i="6" s="1"/>
  <c r="P144" i="6"/>
  <c r="O144" i="6"/>
  <c r="N144" i="6"/>
  <c r="M144" i="6"/>
  <c r="M156" i="6" s="1"/>
  <c r="L144" i="6"/>
  <c r="K144" i="6"/>
  <c r="J144" i="6"/>
  <c r="I144" i="6"/>
  <c r="I156" i="6" s="1"/>
  <c r="H144" i="6"/>
  <c r="G144" i="6"/>
  <c r="F144" i="6"/>
  <c r="AD143" i="6"/>
  <c r="AC143" i="6"/>
  <c r="AB143" i="6"/>
  <c r="AA143" i="6"/>
  <c r="Z143" i="6"/>
  <c r="Y143" i="6"/>
  <c r="X143" i="6"/>
  <c r="W143" i="6"/>
  <c r="V143" i="6"/>
  <c r="U143" i="6"/>
  <c r="T143" i="6"/>
  <c r="S143" i="6"/>
  <c r="R143" i="6"/>
  <c r="AD142" i="6"/>
  <c r="AC142" i="6"/>
  <c r="AB142" i="6"/>
  <c r="AA142" i="6"/>
  <c r="Z142" i="6"/>
  <c r="Y142" i="6"/>
  <c r="X142" i="6"/>
  <c r="W142" i="6"/>
  <c r="V142" i="6"/>
  <c r="U142" i="6"/>
  <c r="T142" i="6"/>
  <c r="S142" i="6"/>
  <c r="R142" i="6"/>
  <c r="AD141" i="6"/>
  <c r="AC141" i="6"/>
  <c r="AB141" i="6"/>
  <c r="AA141" i="6"/>
  <c r="Z141" i="6"/>
  <c r="Y141" i="6"/>
  <c r="X141" i="6"/>
  <c r="W141" i="6"/>
  <c r="V141" i="6"/>
  <c r="U141" i="6"/>
  <c r="T141" i="6"/>
  <c r="S141" i="6"/>
  <c r="R141" i="6"/>
  <c r="AD140" i="6"/>
  <c r="AC140" i="6"/>
  <c r="AB140" i="6"/>
  <c r="AA140" i="6"/>
  <c r="Z140" i="6"/>
  <c r="Y140" i="6"/>
  <c r="Y144" i="6" s="1"/>
  <c r="Y156" i="6" s="1"/>
  <c r="X140" i="6"/>
  <c r="W140" i="6"/>
  <c r="V140" i="6"/>
  <c r="U140" i="6"/>
  <c r="T140" i="6"/>
  <c r="S140" i="6"/>
  <c r="R140" i="6"/>
  <c r="AD139" i="6"/>
  <c r="AC139" i="6"/>
  <c r="AB139" i="6"/>
  <c r="AA139" i="6"/>
  <c r="Z139" i="6"/>
  <c r="Y139" i="6"/>
  <c r="X139" i="6"/>
  <c r="W139" i="6"/>
  <c r="V139" i="6"/>
  <c r="U139" i="6"/>
  <c r="T139" i="6"/>
  <c r="S139" i="6"/>
  <c r="R139" i="6"/>
  <c r="AD138" i="6"/>
  <c r="AC138" i="6"/>
  <c r="AB138" i="6"/>
  <c r="AA138" i="6"/>
  <c r="Z138" i="6"/>
  <c r="Y138" i="6"/>
  <c r="X138" i="6"/>
  <c r="W138" i="6"/>
  <c r="V138" i="6"/>
  <c r="U138" i="6"/>
  <c r="T138" i="6"/>
  <c r="S138" i="6"/>
  <c r="R138" i="6"/>
  <c r="AD137" i="6"/>
  <c r="AD144" i="6" s="1"/>
  <c r="AC137" i="6"/>
  <c r="AB137" i="6"/>
  <c r="AA137" i="6"/>
  <c r="Z137" i="6"/>
  <c r="Z144" i="6" s="1"/>
  <c r="Y137" i="6"/>
  <c r="X137" i="6"/>
  <c r="X144" i="6" s="1"/>
  <c r="W137" i="6"/>
  <c r="V137" i="6"/>
  <c r="V144" i="6" s="1"/>
  <c r="U137" i="6"/>
  <c r="T137" i="6"/>
  <c r="S137" i="6"/>
  <c r="R137" i="6"/>
  <c r="R144" i="6" s="1"/>
  <c r="P133" i="6"/>
  <c r="M133" i="6"/>
  <c r="H133" i="6"/>
  <c r="D133" i="6"/>
  <c r="Q132" i="6"/>
  <c r="P132" i="6"/>
  <c r="O132" i="6"/>
  <c r="N132" i="6"/>
  <c r="M132" i="6"/>
  <c r="L132" i="6"/>
  <c r="K132" i="6"/>
  <c r="J132" i="6"/>
  <c r="I132" i="6"/>
  <c r="H132" i="6"/>
  <c r="G132" i="6"/>
  <c r="F132" i="6"/>
  <c r="AD131" i="6"/>
  <c r="AC131" i="6"/>
  <c r="AB131" i="6"/>
  <c r="AA131" i="6"/>
  <c r="Z131" i="6"/>
  <c r="Y131" i="6"/>
  <c r="X131" i="6"/>
  <c r="W131" i="6"/>
  <c r="V131" i="6"/>
  <c r="U131" i="6"/>
  <c r="T131" i="6"/>
  <c r="S131" i="6"/>
  <c r="R131" i="6"/>
  <c r="AD130" i="6"/>
  <c r="AC130" i="6"/>
  <c r="AB130" i="6"/>
  <c r="AA130" i="6"/>
  <c r="Z130" i="6"/>
  <c r="Y130" i="6"/>
  <c r="X130" i="6"/>
  <c r="W130" i="6"/>
  <c r="V130" i="6"/>
  <c r="U130" i="6"/>
  <c r="T130" i="6"/>
  <c r="S130" i="6"/>
  <c r="R130" i="6"/>
  <c r="AD129" i="6"/>
  <c r="AC129" i="6"/>
  <c r="AB129" i="6"/>
  <c r="AA129" i="6"/>
  <c r="Z129" i="6"/>
  <c r="Y129" i="6"/>
  <c r="X129" i="6"/>
  <c r="W129" i="6"/>
  <c r="V129" i="6"/>
  <c r="U129" i="6"/>
  <c r="T129" i="6"/>
  <c r="S129" i="6"/>
  <c r="R129" i="6"/>
  <c r="AD128" i="6"/>
  <c r="AC128" i="6"/>
  <c r="AB128" i="6"/>
  <c r="AA128" i="6"/>
  <c r="Z128" i="6"/>
  <c r="Y128" i="6"/>
  <c r="X128" i="6"/>
  <c r="W128" i="6"/>
  <c r="V128" i="6"/>
  <c r="U128" i="6"/>
  <c r="T128" i="6"/>
  <c r="S128" i="6"/>
  <c r="R128" i="6"/>
  <c r="AD127" i="6"/>
  <c r="AC127" i="6"/>
  <c r="AB127" i="6"/>
  <c r="AA127" i="6"/>
  <c r="Z127" i="6"/>
  <c r="Y127" i="6"/>
  <c r="X127" i="6"/>
  <c r="W127" i="6"/>
  <c r="V127" i="6"/>
  <c r="U127" i="6"/>
  <c r="T127" i="6"/>
  <c r="S127" i="6"/>
  <c r="R127" i="6"/>
  <c r="AD126" i="6"/>
  <c r="AC126" i="6"/>
  <c r="AB126" i="6"/>
  <c r="AA126" i="6"/>
  <c r="Z126" i="6"/>
  <c r="Y126" i="6"/>
  <c r="X126" i="6"/>
  <c r="W126" i="6"/>
  <c r="V126" i="6"/>
  <c r="U126" i="6"/>
  <c r="T126" i="6"/>
  <c r="S126" i="6"/>
  <c r="R126" i="6"/>
  <c r="AD125" i="6"/>
  <c r="AC125" i="6"/>
  <c r="AB125" i="6"/>
  <c r="AA125" i="6"/>
  <c r="Z125" i="6"/>
  <c r="Y125" i="6"/>
  <c r="X125" i="6"/>
  <c r="W125" i="6"/>
  <c r="V125" i="6"/>
  <c r="U125" i="6"/>
  <c r="T125" i="6"/>
  <c r="S125" i="6"/>
  <c r="R125" i="6"/>
  <c r="AD124" i="6"/>
  <c r="AD132" i="6" s="1"/>
  <c r="AC124" i="6"/>
  <c r="AB124" i="6"/>
  <c r="AA124" i="6"/>
  <c r="Z124" i="6"/>
  <c r="Z132" i="6" s="1"/>
  <c r="Y124" i="6"/>
  <c r="X124" i="6"/>
  <c r="W124" i="6"/>
  <c r="V124" i="6"/>
  <c r="V132" i="6" s="1"/>
  <c r="U124" i="6"/>
  <c r="T124" i="6"/>
  <c r="S124" i="6"/>
  <c r="R124" i="6"/>
  <c r="R132" i="6" s="1"/>
  <c r="AD123" i="6"/>
  <c r="AC123" i="6"/>
  <c r="AB123" i="6"/>
  <c r="AA123" i="6"/>
  <c r="AA132" i="6" s="1"/>
  <c r="Z123" i="6"/>
  <c r="Y123" i="6"/>
  <c r="X123" i="6"/>
  <c r="W123" i="6"/>
  <c r="W132" i="6" s="1"/>
  <c r="V123" i="6"/>
  <c r="U123" i="6"/>
  <c r="T123" i="6"/>
  <c r="S123" i="6"/>
  <c r="S132" i="6" s="1"/>
  <c r="R123" i="6"/>
  <c r="AD122" i="6"/>
  <c r="AC122" i="6"/>
  <c r="AB122" i="6"/>
  <c r="AB132" i="6" s="1"/>
  <c r="AA122" i="6"/>
  <c r="Z122" i="6"/>
  <c r="Y122" i="6"/>
  <c r="X122" i="6"/>
  <c r="X132" i="6" s="1"/>
  <c r="W122" i="6"/>
  <c r="V122" i="6"/>
  <c r="U122" i="6"/>
  <c r="T122" i="6"/>
  <c r="T132" i="6" s="1"/>
  <c r="S122" i="6"/>
  <c r="R122" i="6"/>
  <c r="AC119" i="6"/>
  <c r="Z119" i="6"/>
  <c r="U119" i="6"/>
  <c r="Q119" i="6"/>
  <c r="P119" i="6"/>
  <c r="O119" i="6"/>
  <c r="N119" i="6"/>
  <c r="M119" i="6"/>
  <c r="L119" i="6"/>
  <c r="K119" i="6"/>
  <c r="J119" i="6"/>
  <c r="I119" i="6"/>
  <c r="H119" i="6"/>
  <c r="G119" i="6"/>
  <c r="F119" i="6"/>
  <c r="AD118" i="6"/>
  <c r="AC118" i="6"/>
  <c r="AB118" i="6"/>
  <c r="AA118" i="6"/>
  <c r="Z118" i="6"/>
  <c r="Y118" i="6"/>
  <c r="X118" i="6"/>
  <c r="W118" i="6"/>
  <c r="V118" i="6"/>
  <c r="U118" i="6"/>
  <c r="T118" i="6"/>
  <c r="S118" i="6"/>
  <c r="R118" i="6"/>
  <c r="AD117" i="6"/>
  <c r="AC117" i="6"/>
  <c r="AB117" i="6"/>
  <c r="AA117" i="6"/>
  <c r="Z117" i="6"/>
  <c r="Y117" i="6"/>
  <c r="X117" i="6"/>
  <c r="W117" i="6"/>
  <c r="V117" i="6"/>
  <c r="U117" i="6"/>
  <c r="T117" i="6"/>
  <c r="S117" i="6"/>
  <c r="R117" i="6"/>
  <c r="AD116" i="6"/>
  <c r="AC116" i="6"/>
  <c r="AB116" i="6"/>
  <c r="AA116" i="6"/>
  <c r="Z116" i="6"/>
  <c r="Y116" i="6"/>
  <c r="X116" i="6"/>
  <c r="W116" i="6"/>
  <c r="V116" i="6"/>
  <c r="U116" i="6"/>
  <c r="T116" i="6"/>
  <c r="S116" i="6"/>
  <c r="R116" i="6"/>
  <c r="AD115" i="6"/>
  <c r="AC115" i="6"/>
  <c r="AB115" i="6"/>
  <c r="AA115" i="6"/>
  <c r="Z115" i="6"/>
  <c r="Y115" i="6"/>
  <c r="Y119" i="6" s="1"/>
  <c r="X115" i="6"/>
  <c r="W115" i="6"/>
  <c r="V115" i="6"/>
  <c r="U115" i="6"/>
  <c r="T115" i="6"/>
  <c r="S115" i="6"/>
  <c r="R115" i="6"/>
  <c r="R119" i="6" s="1"/>
  <c r="AD114" i="6"/>
  <c r="AD119" i="6" s="1"/>
  <c r="AC114" i="6"/>
  <c r="AB114" i="6"/>
  <c r="AA114" i="6"/>
  <c r="Z114" i="6"/>
  <c r="Y114" i="6"/>
  <c r="X114" i="6"/>
  <c r="W114" i="6"/>
  <c r="V114" i="6"/>
  <c r="V119" i="6" s="1"/>
  <c r="U114" i="6"/>
  <c r="T114" i="6"/>
  <c r="S114" i="6"/>
  <c r="R114" i="6"/>
  <c r="AD113" i="6"/>
  <c r="AC113" i="6"/>
  <c r="AB113" i="6"/>
  <c r="AB119" i="6" s="1"/>
  <c r="AA113" i="6"/>
  <c r="Z113" i="6"/>
  <c r="Y113" i="6"/>
  <c r="X113" i="6"/>
  <c r="X119" i="6" s="1"/>
  <c r="W113" i="6"/>
  <c r="V113" i="6"/>
  <c r="U113" i="6"/>
  <c r="T113" i="6"/>
  <c r="T119" i="6" s="1"/>
  <c r="S113" i="6"/>
  <c r="R113" i="6"/>
  <c r="AC110" i="6"/>
  <c r="AB110" i="6"/>
  <c r="U110" i="6"/>
  <c r="T110" i="6"/>
  <c r="Q110" i="6"/>
  <c r="P110" i="6"/>
  <c r="O110" i="6"/>
  <c r="N110" i="6"/>
  <c r="M110" i="6"/>
  <c r="L110" i="6"/>
  <c r="K110" i="6"/>
  <c r="J110" i="6"/>
  <c r="I110" i="6"/>
  <c r="H110" i="6"/>
  <c r="G110" i="6"/>
  <c r="F110" i="6"/>
  <c r="AD109" i="6"/>
  <c r="AC109" i="6"/>
  <c r="AB109" i="6"/>
  <c r="AA109" i="6"/>
  <c r="Z109" i="6"/>
  <c r="Y109" i="6"/>
  <c r="X109" i="6"/>
  <c r="W109" i="6"/>
  <c r="V109" i="6"/>
  <c r="U109" i="6"/>
  <c r="T109" i="6"/>
  <c r="S109" i="6"/>
  <c r="R109" i="6"/>
  <c r="AD108" i="6"/>
  <c r="AC108" i="6"/>
  <c r="AB108" i="6"/>
  <c r="AA108" i="6"/>
  <c r="Z108" i="6"/>
  <c r="Y108" i="6"/>
  <c r="X108" i="6"/>
  <c r="W108" i="6"/>
  <c r="V108" i="6"/>
  <c r="U108" i="6"/>
  <c r="T108" i="6"/>
  <c r="S108" i="6"/>
  <c r="R108" i="6"/>
  <c r="AD107" i="6"/>
  <c r="AC107" i="6"/>
  <c r="AB107" i="6"/>
  <c r="AA107" i="6"/>
  <c r="Z107" i="6"/>
  <c r="Y107" i="6"/>
  <c r="X107" i="6"/>
  <c r="W107" i="6"/>
  <c r="V107" i="6"/>
  <c r="U107" i="6"/>
  <c r="T107" i="6"/>
  <c r="S107" i="6"/>
  <c r="R107" i="6"/>
  <c r="AD106" i="6"/>
  <c r="AC106" i="6"/>
  <c r="AB106" i="6"/>
  <c r="AA106" i="6"/>
  <c r="Z106" i="6"/>
  <c r="Y106" i="6"/>
  <c r="X106" i="6"/>
  <c r="X110" i="6" s="1"/>
  <c r="W106" i="6"/>
  <c r="V106" i="6"/>
  <c r="U106" i="6"/>
  <c r="T106" i="6"/>
  <c r="S106" i="6"/>
  <c r="R106" i="6"/>
  <c r="AD105" i="6"/>
  <c r="AC105" i="6"/>
  <c r="AB105" i="6"/>
  <c r="AA105" i="6"/>
  <c r="Z105" i="6"/>
  <c r="Y105" i="6"/>
  <c r="Y110" i="6" s="1"/>
  <c r="X105" i="6"/>
  <c r="W105" i="6"/>
  <c r="V105" i="6"/>
  <c r="U105" i="6"/>
  <c r="T105" i="6"/>
  <c r="S105" i="6"/>
  <c r="R105" i="6"/>
  <c r="AD104" i="6"/>
  <c r="AC104" i="6"/>
  <c r="AB104" i="6"/>
  <c r="AA104" i="6"/>
  <c r="AA110" i="6" s="1"/>
  <c r="Z104" i="6"/>
  <c r="Y104" i="6"/>
  <c r="X104" i="6"/>
  <c r="W104" i="6"/>
  <c r="W110" i="6" s="1"/>
  <c r="V104" i="6"/>
  <c r="U104" i="6"/>
  <c r="T104" i="6"/>
  <c r="S104" i="6"/>
  <c r="S110" i="6" s="1"/>
  <c r="R104" i="6"/>
  <c r="AB101" i="6"/>
  <c r="AA101" i="6"/>
  <c r="W101" i="6"/>
  <c r="S101" i="6"/>
  <c r="Q101" i="6"/>
  <c r="P101" i="6"/>
  <c r="O101" i="6"/>
  <c r="N101" i="6"/>
  <c r="M101" i="6"/>
  <c r="L101" i="6"/>
  <c r="L133" i="6" s="1"/>
  <c r="K101" i="6"/>
  <c r="J101" i="6"/>
  <c r="I101" i="6"/>
  <c r="H101" i="6"/>
  <c r="G101" i="6"/>
  <c r="F101" i="6"/>
  <c r="AD100" i="6"/>
  <c r="AC100" i="6"/>
  <c r="AB100" i="6"/>
  <c r="AA100" i="6"/>
  <c r="Z100" i="6"/>
  <c r="Y100" i="6"/>
  <c r="X100" i="6"/>
  <c r="X101" i="6" s="1"/>
  <c r="W100" i="6"/>
  <c r="V100" i="6"/>
  <c r="U100" i="6"/>
  <c r="T100" i="6"/>
  <c r="T101" i="6" s="1"/>
  <c r="S100" i="6"/>
  <c r="R100" i="6"/>
  <c r="AD99" i="6"/>
  <c r="AD101" i="6" s="1"/>
  <c r="AC99" i="6"/>
  <c r="AC101" i="6" s="1"/>
  <c r="AB99" i="6"/>
  <c r="AA99" i="6"/>
  <c r="Z99" i="6"/>
  <c r="Z101" i="6" s="1"/>
  <c r="Y99" i="6"/>
  <c r="Y101" i="6" s="1"/>
  <c r="X99" i="6"/>
  <c r="W99" i="6"/>
  <c r="V99" i="6"/>
  <c r="V101" i="6" s="1"/>
  <c r="U99" i="6"/>
  <c r="U101" i="6" s="1"/>
  <c r="T99" i="6"/>
  <c r="S99" i="6"/>
  <c r="R99" i="6"/>
  <c r="R101" i="6" s="1"/>
  <c r="AD96" i="6"/>
  <c r="AA96" i="6"/>
  <c r="Z96" i="6"/>
  <c r="V96" i="6"/>
  <c r="S96" i="6"/>
  <c r="R96" i="6"/>
  <c r="Q96" i="6"/>
  <c r="P96" i="6"/>
  <c r="O96" i="6"/>
  <c r="N96" i="6"/>
  <c r="M96" i="6"/>
  <c r="L96" i="6"/>
  <c r="K96" i="6"/>
  <c r="J96" i="6"/>
  <c r="I96" i="6"/>
  <c r="H96" i="6"/>
  <c r="G96" i="6"/>
  <c r="F96" i="6"/>
  <c r="AD95" i="6"/>
  <c r="AC95" i="6"/>
  <c r="AB95" i="6"/>
  <c r="AA95" i="6"/>
  <c r="Z95" i="6"/>
  <c r="Y95" i="6"/>
  <c r="X95" i="6"/>
  <c r="W95" i="6"/>
  <c r="W96" i="6" s="1"/>
  <c r="V95" i="6"/>
  <c r="U95" i="6"/>
  <c r="T95" i="6"/>
  <c r="S95" i="6"/>
  <c r="R95" i="6"/>
  <c r="AD94" i="6"/>
  <c r="AC94" i="6"/>
  <c r="AC96" i="6" s="1"/>
  <c r="AB94" i="6"/>
  <c r="AA94" i="6"/>
  <c r="Z94" i="6"/>
  <c r="Y94" i="6"/>
  <c r="Y96" i="6" s="1"/>
  <c r="X94" i="6"/>
  <c r="W94" i="6"/>
  <c r="V94" i="6"/>
  <c r="U94" i="6"/>
  <c r="U96" i="6" s="1"/>
  <c r="T94" i="6"/>
  <c r="S94" i="6"/>
  <c r="R94" i="6"/>
  <c r="Y91" i="6"/>
  <c r="V91" i="6"/>
  <c r="Q91" i="6"/>
  <c r="Q133" i="6" s="1"/>
  <c r="P91" i="6"/>
  <c r="O91" i="6"/>
  <c r="N91" i="6"/>
  <c r="M91" i="6"/>
  <c r="L91" i="6"/>
  <c r="K91" i="6"/>
  <c r="J91" i="6"/>
  <c r="I91" i="6"/>
  <c r="I133" i="6" s="1"/>
  <c r="H91" i="6"/>
  <c r="G91" i="6"/>
  <c r="F91" i="6"/>
  <c r="AD90" i="6"/>
  <c r="AC90" i="6"/>
  <c r="AB90" i="6"/>
  <c r="AA90" i="6"/>
  <c r="Z90" i="6"/>
  <c r="Y90" i="6"/>
  <c r="X90" i="6"/>
  <c r="W90" i="6"/>
  <c r="V90" i="6"/>
  <c r="U90" i="6"/>
  <c r="T90" i="6"/>
  <c r="S90" i="6"/>
  <c r="R90" i="6"/>
  <c r="AD89" i="6"/>
  <c r="AC89" i="6"/>
  <c r="AB89" i="6"/>
  <c r="AA89" i="6"/>
  <c r="Z89" i="6"/>
  <c r="Y89" i="6"/>
  <c r="X89" i="6"/>
  <c r="W89" i="6"/>
  <c r="V89" i="6"/>
  <c r="U89" i="6"/>
  <c r="T89" i="6"/>
  <c r="S89" i="6"/>
  <c r="R89" i="6"/>
  <c r="AD88" i="6"/>
  <c r="AC88" i="6"/>
  <c r="AB88" i="6"/>
  <c r="AA88" i="6"/>
  <c r="Z88" i="6"/>
  <c r="Y88" i="6"/>
  <c r="X88" i="6"/>
  <c r="W88" i="6"/>
  <c r="V88" i="6"/>
  <c r="U88" i="6"/>
  <c r="T88" i="6"/>
  <c r="S88" i="6"/>
  <c r="R88" i="6"/>
  <c r="AD87" i="6"/>
  <c r="AC87" i="6"/>
  <c r="AC91" i="6" s="1"/>
  <c r="AB87" i="6"/>
  <c r="AA87" i="6"/>
  <c r="Z87" i="6"/>
  <c r="Y87" i="6"/>
  <c r="X87" i="6"/>
  <c r="W87" i="6"/>
  <c r="V87" i="6"/>
  <c r="U87" i="6"/>
  <c r="U91" i="6" s="1"/>
  <c r="T87" i="6"/>
  <c r="S87" i="6"/>
  <c r="R87" i="6"/>
  <c r="AD86" i="6"/>
  <c r="AD91" i="6" s="1"/>
  <c r="AC86" i="6"/>
  <c r="AB86" i="6"/>
  <c r="AA86" i="6"/>
  <c r="Z86" i="6"/>
  <c r="Z91" i="6" s="1"/>
  <c r="Y86" i="6"/>
  <c r="X86" i="6"/>
  <c r="W86" i="6"/>
  <c r="V86" i="6"/>
  <c r="U86" i="6"/>
  <c r="T86" i="6"/>
  <c r="S86" i="6"/>
  <c r="R86" i="6"/>
  <c r="R91" i="6" s="1"/>
  <c r="Q81" i="6"/>
  <c r="P81" i="6"/>
  <c r="O81" i="6"/>
  <c r="N81" i="6"/>
  <c r="M81" i="6"/>
  <c r="L81" i="6"/>
  <c r="K81" i="6"/>
  <c r="J81" i="6"/>
  <c r="I81" i="6"/>
  <c r="H81" i="6"/>
  <c r="G81" i="6"/>
  <c r="F81" i="6"/>
  <c r="AD80" i="6"/>
  <c r="AC80" i="6"/>
  <c r="AB80" i="6"/>
  <c r="AA80" i="6"/>
  <c r="Z80" i="6"/>
  <c r="Y80" i="6"/>
  <c r="X80" i="6"/>
  <c r="W80" i="6"/>
  <c r="V80" i="6"/>
  <c r="U80" i="6"/>
  <c r="T80" i="6"/>
  <c r="S80" i="6"/>
  <c r="R80" i="6"/>
  <c r="AD79" i="6"/>
  <c r="AC79" i="6"/>
  <c r="AB79" i="6"/>
  <c r="AA79" i="6"/>
  <c r="Z79" i="6"/>
  <c r="Y79" i="6"/>
  <c r="X79" i="6"/>
  <c r="W79" i="6"/>
  <c r="V79" i="6"/>
  <c r="U79" i="6"/>
  <c r="T79" i="6"/>
  <c r="S79" i="6"/>
  <c r="R79" i="6"/>
  <c r="AD78" i="6"/>
  <c r="AC78" i="6"/>
  <c r="AB78" i="6"/>
  <c r="AA78" i="6"/>
  <c r="Z78" i="6"/>
  <c r="Y78" i="6"/>
  <c r="X78" i="6"/>
  <c r="W78" i="6"/>
  <c r="V78" i="6"/>
  <c r="U78" i="6"/>
  <c r="T78" i="6"/>
  <c r="S78" i="6"/>
  <c r="R78" i="6"/>
  <c r="AD77" i="6"/>
  <c r="AC77" i="6"/>
  <c r="AB77" i="6"/>
  <c r="AA77" i="6"/>
  <c r="Z77" i="6"/>
  <c r="Y77" i="6"/>
  <c r="X77" i="6"/>
  <c r="X81" i="6" s="1"/>
  <c r="W77" i="6"/>
  <c r="V77" i="6"/>
  <c r="U77" i="6"/>
  <c r="T77" i="6"/>
  <c r="S77" i="6"/>
  <c r="R77" i="6"/>
  <c r="AD76" i="6"/>
  <c r="AC76" i="6"/>
  <c r="AC81" i="6" s="1"/>
  <c r="AB76" i="6"/>
  <c r="AA76" i="6"/>
  <c r="Z76" i="6"/>
  <c r="Y76" i="6"/>
  <c r="Y81" i="6" s="1"/>
  <c r="X76" i="6"/>
  <c r="W76" i="6"/>
  <c r="V76" i="6"/>
  <c r="U76" i="6"/>
  <c r="U81" i="6" s="1"/>
  <c r="T76" i="6"/>
  <c r="S76" i="6"/>
  <c r="R76" i="6"/>
  <c r="AD75" i="6"/>
  <c r="AD81" i="6" s="1"/>
  <c r="AC75" i="6"/>
  <c r="AB75" i="6"/>
  <c r="AA75" i="6"/>
  <c r="Z75" i="6"/>
  <c r="Z81" i="6" s="1"/>
  <c r="Y75" i="6"/>
  <c r="X75" i="6"/>
  <c r="W75" i="6"/>
  <c r="V75" i="6"/>
  <c r="V81" i="6" s="1"/>
  <c r="U75" i="6"/>
  <c r="T75" i="6"/>
  <c r="S75" i="6"/>
  <c r="R75" i="6"/>
  <c r="R81" i="6" s="1"/>
  <c r="AD74" i="6"/>
  <c r="AC74" i="6"/>
  <c r="AB74" i="6"/>
  <c r="AA74" i="6"/>
  <c r="AA81" i="6" s="1"/>
  <c r="Z74" i="6"/>
  <c r="Y74" i="6"/>
  <c r="X74" i="6"/>
  <c r="W74" i="6"/>
  <c r="W81" i="6" s="1"/>
  <c r="V74" i="6"/>
  <c r="U74" i="6"/>
  <c r="T74" i="6"/>
  <c r="S74" i="6"/>
  <c r="S81" i="6" s="1"/>
  <c r="R74" i="6"/>
  <c r="Q71" i="6"/>
  <c r="P71" i="6"/>
  <c r="O71" i="6"/>
  <c r="N71" i="6"/>
  <c r="M71" i="6"/>
  <c r="L71" i="6"/>
  <c r="L82" i="6" s="1"/>
  <c r="K71" i="6"/>
  <c r="J71" i="6"/>
  <c r="I71" i="6"/>
  <c r="H71" i="6"/>
  <c r="G71" i="6"/>
  <c r="F71" i="6"/>
  <c r="AD70" i="6"/>
  <c r="AC70" i="6"/>
  <c r="AB70" i="6"/>
  <c r="AA70" i="6"/>
  <c r="Z70" i="6"/>
  <c r="Y70" i="6"/>
  <c r="X70" i="6"/>
  <c r="W70" i="6"/>
  <c r="V70" i="6"/>
  <c r="U70" i="6"/>
  <c r="T70" i="6"/>
  <c r="S70" i="6"/>
  <c r="R70" i="6"/>
  <c r="AD69" i="6"/>
  <c r="AC69" i="6"/>
  <c r="AB69" i="6"/>
  <c r="AA69" i="6"/>
  <c r="Z69" i="6"/>
  <c r="Y69" i="6"/>
  <c r="X69" i="6"/>
  <c r="W69" i="6"/>
  <c r="V69" i="6"/>
  <c r="U69" i="6"/>
  <c r="T69" i="6"/>
  <c r="S69" i="6"/>
  <c r="R69" i="6"/>
  <c r="AD68" i="6"/>
  <c r="AC68" i="6"/>
  <c r="AB68" i="6"/>
  <c r="AA68" i="6"/>
  <c r="Z68" i="6"/>
  <c r="Y68" i="6"/>
  <c r="X68" i="6"/>
  <c r="X71" i="6" s="1"/>
  <c r="W68" i="6"/>
  <c r="V68" i="6"/>
  <c r="U68" i="6"/>
  <c r="T68" i="6"/>
  <c r="S68" i="6"/>
  <c r="R68" i="6"/>
  <c r="AD67" i="6"/>
  <c r="AC67" i="6"/>
  <c r="AB67" i="6"/>
  <c r="AA67" i="6"/>
  <c r="Z67" i="6"/>
  <c r="Y67" i="6"/>
  <c r="X67" i="6"/>
  <c r="W67" i="6"/>
  <c r="V67" i="6"/>
  <c r="U67" i="6"/>
  <c r="T67" i="6"/>
  <c r="S67" i="6"/>
  <c r="R67" i="6"/>
  <c r="AD66" i="6"/>
  <c r="AD71" i="6" s="1"/>
  <c r="AC66" i="6"/>
  <c r="AB66" i="6"/>
  <c r="AA66" i="6"/>
  <c r="Z66" i="6"/>
  <c r="Z71" i="6" s="1"/>
  <c r="Y66" i="6"/>
  <c r="Y71" i="6" s="1"/>
  <c r="X66" i="6"/>
  <c r="W66" i="6"/>
  <c r="V66" i="6"/>
  <c r="V71" i="6" s="1"/>
  <c r="U66" i="6"/>
  <c r="T66" i="6"/>
  <c r="S66" i="6"/>
  <c r="R66" i="6"/>
  <c r="R71" i="6" s="1"/>
  <c r="AD63" i="6"/>
  <c r="AC63" i="6"/>
  <c r="AB63" i="6"/>
  <c r="AA63" i="6"/>
  <c r="Z63" i="6"/>
  <c r="Y63" i="6"/>
  <c r="X63" i="6"/>
  <c r="W63" i="6"/>
  <c r="V63" i="6"/>
  <c r="U63" i="6"/>
  <c r="T63" i="6"/>
  <c r="S63" i="6"/>
  <c r="R63" i="6"/>
  <c r="X61" i="6"/>
  <c r="W61" i="6"/>
  <c r="S61" i="6"/>
  <c r="Q61" i="6"/>
  <c r="P61" i="6"/>
  <c r="O61" i="6"/>
  <c r="N61" i="6"/>
  <c r="M61" i="6"/>
  <c r="L61" i="6"/>
  <c r="K61" i="6"/>
  <c r="J61" i="6"/>
  <c r="I61" i="6"/>
  <c r="H61" i="6"/>
  <c r="G61" i="6"/>
  <c r="F61" i="6"/>
  <c r="AD60" i="6"/>
  <c r="AC60" i="6"/>
  <c r="AB60" i="6"/>
  <c r="AB61" i="6" s="1"/>
  <c r="AA60" i="6"/>
  <c r="Z60" i="6"/>
  <c r="Y60" i="6"/>
  <c r="X60" i="6"/>
  <c r="W60" i="6"/>
  <c r="V60" i="6"/>
  <c r="U60" i="6"/>
  <c r="T60" i="6"/>
  <c r="T61" i="6" s="1"/>
  <c r="S60" i="6"/>
  <c r="R60" i="6"/>
  <c r="AD59" i="6"/>
  <c r="AC59" i="6"/>
  <c r="AC61" i="6" s="1"/>
  <c r="AB59" i="6"/>
  <c r="AA59" i="6"/>
  <c r="AA61" i="6" s="1"/>
  <c r="Z59" i="6"/>
  <c r="Y59" i="6"/>
  <c r="Y61" i="6" s="1"/>
  <c r="X59" i="6"/>
  <c r="W59" i="6"/>
  <c r="V59" i="6"/>
  <c r="U59" i="6"/>
  <c r="U61" i="6" s="1"/>
  <c r="T59" i="6"/>
  <c r="S59" i="6"/>
  <c r="R59" i="6"/>
  <c r="AA56" i="6"/>
  <c r="V56" i="6"/>
  <c r="R56" i="6"/>
  <c r="Q56" i="6"/>
  <c r="P56" i="6"/>
  <c r="O56" i="6"/>
  <c r="N56" i="6"/>
  <c r="M56" i="6"/>
  <c r="L56" i="6"/>
  <c r="K56" i="6"/>
  <c r="J56" i="6"/>
  <c r="I56" i="6"/>
  <c r="H56" i="6"/>
  <c r="G56" i="6"/>
  <c r="F56" i="6"/>
  <c r="AD55" i="6"/>
  <c r="AC55" i="6"/>
  <c r="AB55" i="6"/>
  <c r="AA55" i="6"/>
  <c r="Z55" i="6"/>
  <c r="Y55" i="6"/>
  <c r="X55" i="6"/>
  <c r="W55" i="6"/>
  <c r="W56" i="6" s="1"/>
  <c r="V55" i="6"/>
  <c r="U55" i="6"/>
  <c r="T55" i="6"/>
  <c r="S55" i="6"/>
  <c r="S56" i="6" s="1"/>
  <c r="R55" i="6"/>
  <c r="AD54" i="6"/>
  <c r="AC54" i="6"/>
  <c r="AB54" i="6"/>
  <c r="AB56" i="6" s="1"/>
  <c r="AA54" i="6"/>
  <c r="Z54" i="6"/>
  <c r="Y54" i="6"/>
  <c r="X54" i="6"/>
  <c r="X56" i="6" s="1"/>
  <c r="W54" i="6"/>
  <c r="V54" i="6"/>
  <c r="U54" i="6"/>
  <c r="T54" i="6"/>
  <c r="T56" i="6" s="1"/>
  <c r="S54" i="6"/>
  <c r="R54" i="6"/>
  <c r="AD53" i="6"/>
  <c r="AD56" i="6" s="1"/>
  <c r="AC53" i="6"/>
  <c r="AC56" i="6" s="1"/>
  <c r="AB53" i="6"/>
  <c r="AA53" i="6"/>
  <c r="Z53" i="6"/>
  <c r="Z56" i="6" s="1"/>
  <c r="Y53" i="6"/>
  <c r="Y56" i="6" s="1"/>
  <c r="X53" i="6"/>
  <c r="W53" i="6"/>
  <c r="V53" i="6"/>
  <c r="U53" i="6"/>
  <c r="U56" i="6" s="1"/>
  <c r="T53" i="6"/>
  <c r="S53" i="6"/>
  <c r="R53" i="6"/>
  <c r="Q50" i="6"/>
  <c r="P50" i="6"/>
  <c r="O50" i="6"/>
  <c r="O82" i="6" s="1"/>
  <c r="N50" i="6"/>
  <c r="M50" i="6"/>
  <c r="L50" i="6"/>
  <c r="K50" i="6"/>
  <c r="J50" i="6"/>
  <c r="I50" i="6"/>
  <c r="H50" i="6"/>
  <c r="G50" i="6"/>
  <c r="G82" i="6" s="1"/>
  <c r="F50" i="6"/>
  <c r="AD49" i="6"/>
  <c r="AC49" i="6"/>
  <c r="AB49" i="6"/>
  <c r="AA49" i="6"/>
  <c r="Z49" i="6"/>
  <c r="Y49" i="6"/>
  <c r="X49" i="6"/>
  <c r="W49" i="6"/>
  <c r="V49" i="6"/>
  <c r="U49" i="6"/>
  <c r="T49" i="6"/>
  <c r="S49" i="6"/>
  <c r="S50" i="6" s="1"/>
  <c r="R49" i="6"/>
  <c r="AD48" i="6"/>
  <c r="AC48" i="6"/>
  <c r="AB48" i="6"/>
  <c r="AA48" i="6"/>
  <c r="Z48" i="6"/>
  <c r="Y48" i="6"/>
  <c r="X48" i="6"/>
  <c r="W48" i="6"/>
  <c r="V48" i="6"/>
  <c r="U48" i="6"/>
  <c r="T48" i="6"/>
  <c r="S48" i="6"/>
  <c r="R48" i="6"/>
  <c r="AD47" i="6"/>
  <c r="AD50" i="6" s="1"/>
  <c r="AC47" i="6"/>
  <c r="Y47" i="6"/>
  <c r="W47" i="6"/>
  <c r="W50" i="6" s="1"/>
  <c r="V47" i="6"/>
  <c r="U47" i="6"/>
  <c r="T47" i="6"/>
  <c r="S47" i="6"/>
  <c r="J47" i="6"/>
  <c r="AA47" i="6" s="1"/>
  <c r="H47" i="6"/>
  <c r="AB47" i="6" s="1"/>
  <c r="AB50" i="6" s="1"/>
  <c r="AD46" i="6"/>
  <c r="AC46" i="6"/>
  <c r="AB46" i="6"/>
  <c r="AA46" i="6"/>
  <c r="Z46" i="6"/>
  <c r="Y46" i="6"/>
  <c r="X46" i="6"/>
  <c r="W46" i="6"/>
  <c r="V46" i="6"/>
  <c r="V50" i="6" s="1"/>
  <c r="U46" i="6"/>
  <c r="T46" i="6"/>
  <c r="S46" i="6"/>
  <c r="R46" i="6"/>
  <c r="AD43" i="6"/>
  <c r="AC43" i="6"/>
  <c r="AB43" i="6"/>
  <c r="AA43" i="6"/>
  <c r="Z43" i="6"/>
  <c r="Y43" i="6"/>
  <c r="X43" i="6"/>
  <c r="W43" i="6"/>
  <c r="V43" i="6"/>
  <c r="U43" i="6"/>
  <c r="T43" i="6"/>
  <c r="S43" i="6"/>
  <c r="R43" i="6"/>
  <c r="AA41" i="6"/>
  <c r="Q41" i="6"/>
  <c r="Q82" i="6" s="1"/>
  <c r="Q166" i="6" s="1"/>
  <c r="P41" i="6"/>
  <c r="O41" i="6"/>
  <c r="N41" i="6"/>
  <c r="M41" i="6"/>
  <c r="M82" i="6" s="1"/>
  <c r="M166" i="6" s="1"/>
  <c r="L41" i="6"/>
  <c r="K41" i="6"/>
  <c r="J41" i="6"/>
  <c r="I41" i="6"/>
  <c r="I82" i="6" s="1"/>
  <c r="I166" i="6" s="1"/>
  <c r="H41" i="6"/>
  <c r="G41" i="6"/>
  <c r="F41" i="6"/>
  <c r="AD40" i="6"/>
  <c r="AC40" i="6"/>
  <c r="AB40" i="6"/>
  <c r="AA40" i="6"/>
  <c r="Z40" i="6"/>
  <c r="Y40" i="6"/>
  <c r="X40" i="6"/>
  <c r="W40" i="6"/>
  <c r="V40" i="6"/>
  <c r="U40" i="6"/>
  <c r="T40" i="6"/>
  <c r="S40" i="6"/>
  <c r="R40" i="6"/>
  <c r="AD39" i="6"/>
  <c r="AC39" i="6"/>
  <c r="AB39" i="6"/>
  <c r="AA39" i="6"/>
  <c r="Z39" i="6"/>
  <c r="Y39" i="6"/>
  <c r="X39" i="6"/>
  <c r="W39" i="6"/>
  <c r="V39" i="6"/>
  <c r="U39" i="6"/>
  <c r="T39" i="6"/>
  <c r="S39" i="6"/>
  <c r="R39" i="6"/>
  <c r="AD38" i="6"/>
  <c r="AC38" i="6"/>
  <c r="AB38" i="6"/>
  <c r="AA38" i="6"/>
  <c r="Z38" i="6"/>
  <c r="Y38" i="6"/>
  <c r="X38" i="6"/>
  <c r="W38" i="6"/>
  <c r="V38" i="6"/>
  <c r="U38" i="6"/>
  <c r="T38" i="6"/>
  <c r="S38" i="6"/>
  <c r="R38" i="6"/>
  <c r="AD37" i="6"/>
  <c r="AD41" i="6" s="1"/>
  <c r="AC37" i="6"/>
  <c r="AB37" i="6"/>
  <c r="AA37" i="6"/>
  <c r="Z37" i="6"/>
  <c r="Y37" i="6"/>
  <c r="X37" i="6"/>
  <c r="W37" i="6"/>
  <c r="V37" i="6"/>
  <c r="V41" i="6" s="1"/>
  <c r="U37" i="6"/>
  <c r="T37" i="6"/>
  <c r="S37" i="6"/>
  <c r="R37" i="6"/>
  <c r="R41" i="6" s="1"/>
  <c r="AD36" i="6"/>
  <c r="AC36" i="6"/>
  <c r="AB36" i="6"/>
  <c r="AA36" i="6"/>
  <c r="Z36" i="6"/>
  <c r="Y36" i="6"/>
  <c r="X36" i="6"/>
  <c r="W36" i="6"/>
  <c r="W41" i="6" s="1"/>
  <c r="V36" i="6"/>
  <c r="U36" i="6"/>
  <c r="T36" i="6"/>
  <c r="S36" i="6"/>
  <c r="S41" i="6" s="1"/>
  <c r="R36" i="6"/>
  <c r="AD35" i="6"/>
  <c r="AC35" i="6"/>
  <c r="AB35" i="6"/>
  <c r="AB41" i="6" s="1"/>
  <c r="AA35" i="6"/>
  <c r="Z35" i="6"/>
  <c r="Y35" i="6"/>
  <c r="X35" i="6"/>
  <c r="X41" i="6" s="1"/>
  <c r="W35" i="6"/>
  <c r="V35" i="6"/>
  <c r="U35" i="6"/>
  <c r="T35" i="6"/>
  <c r="T41" i="6" s="1"/>
  <c r="S35" i="6"/>
  <c r="R35" i="6"/>
  <c r="AD31" i="6"/>
  <c r="AC31" i="6"/>
  <c r="AB31" i="6"/>
  <c r="AA31" i="6"/>
  <c r="Z31" i="6"/>
  <c r="Y31" i="6"/>
  <c r="X31" i="6"/>
  <c r="W31" i="6"/>
  <c r="V31" i="6"/>
  <c r="U31" i="6"/>
  <c r="T31" i="6"/>
  <c r="S31" i="6"/>
  <c r="R31" i="6"/>
  <c r="AA21" i="6"/>
  <c r="S21" i="6"/>
  <c r="Q21" i="6"/>
  <c r="P21" i="6"/>
  <c r="P22" i="6" s="1"/>
  <c r="O21" i="6"/>
  <c r="O22" i="6" s="1"/>
  <c r="N21" i="6"/>
  <c r="M21" i="6"/>
  <c r="L21" i="6"/>
  <c r="L22" i="6" s="1"/>
  <c r="K21" i="6"/>
  <c r="K22" i="6" s="1"/>
  <c r="J21" i="6"/>
  <c r="I21" i="6"/>
  <c r="H21" i="6"/>
  <c r="H22" i="6" s="1"/>
  <c r="G21" i="6"/>
  <c r="G22" i="6" s="1"/>
  <c r="F21" i="6"/>
  <c r="AD20" i="6"/>
  <c r="AC20" i="6"/>
  <c r="AB20" i="6"/>
  <c r="AA20" i="6"/>
  <c r="Z20" i="6"/>
  <c r="Y20" i="6"/>
  <c r="X20" i="6"/>
  <c r="W20" i="6"/>
  <c r="V20" i="6"/>
  <c r="U20" i="6"/>
  <c r="T20" i="6"/>
  <c r="S20" i="6"/>
  <c r="R20" i="6"/>
  <c r="AD19" i="6"/>
  <c r="AC19" i="6"/>
  <c r="AB19" i="6"/>
  <c r="AA19" i="6"/>
  <c r="Z19" i="6"/>
  <c r="Y19" i="6"/>
  <c r="X19" i="6"/>
  <c r="W19" i="6"/>
  <c r="V19" i="6"/>
  <c r="U19" i="6"/>
  <c r="T19" i="6"/>
  <c r="S19" i="6"/>
  <c r="R19" i="6"/>
  <c r="AD18" i="6"/>
  <c r="AC18" i="6"/>
  <c r="AB18" i="6"/>
  <c r="AA18" i="6"/>
  <c r="Z18" i="6"/>
  <c r="Y18" i="6"/>
  <c r="X18" i="6"/>
  <c r="W18" i="6"/>
  <c r="V18" i="6"/>
  <c r="U18" i="6"/>
  <c r="T18" i="6"/>
  <c r="S18" i="6"/>
  <c r="R18" i="6"/>
  <c r="AD17" i="6"/>
  <c r="AC17" i="6"/>
  <c r="AB17" i="6"/>
  <c r="AA17" i="6"/>
  <c r="Z17" i="6"/>
  <c r="Y17" i="6"/>
  <c r="X17" i="6"/>
  <c r="W17" i="6"/>
  <c r="W21" i="6" s="1"/>
  <c r="V17" i="6"/>
  <c r="U17" i="6"/>
  <c r="T17" i="6"/>
  <c r="S17" i="6"/>
  <c r="R17" i="6"/>
  <c r="AD16" i="6"/>
  <c r="AC16" i="6"/>
  <c r="AB16" i="6"/>
  <c r="AB21" i="6" s="1"/>
  <c r="AA16" i="6"/>
  <c r="Z16" i="6"/>
  <c r="Y16" i="6"/>
  <c r="X16" i="6"/>
  <c r="X21" i="6" s="1"/>
  <c r="W16" i="6"/>
  <c r="V16" i="6"/>
  <c r="U16" i="6"/>
  <c r="T16" i="6"/>
  <c r="T21" i="6" s="1"/>
  <c r="S16" i="6"/>
  <c r="R16" i="6"/>
  <c r="Q13" i="6"/>
  <c r="Q22" i="6" s="1"/>
  <c r="P13" i="6"/>
  <c r="O13" i="6"/>
  <c r="N13" i="6"/>
  <c r="N22" i="6" s="1"/>
  <c r="M13" i="6"/>
  <c r="M22" i="6" s="1"/>
  <c r="L13" i="6"/>
  <c r="K13" i="6"/>
  <c r="J13" i="6"/>
  <c r="J22" i="6" s="1"/>
  <c r="I13" i="6"/>
  <c r="I22" i="6" s="1"/>
  <c r="H13" i="6"/>
  <c r="G13" i="6"/>
  <c r="F13" i="6"/>
  <c r="F22" i="6" s="1"/>
  <c r="AD12" i="6"/>
  <c r="AC12" i="6"/>
  <c r="AB12" i="6"/>
  <c r="AA12" i="6"/>
  <c r="Z12" i="6"/>
  <c r="Y12" i="6"/>
  <c r="X12" i="6"/>
  <c r="W12" i="6"/>
  <c r="V12" i="6"/>
  <c r="U12" i="6"/>
  <c r="T12" i="6"/>
  <c r="S12" i="6"/>
  <c r="R12" i="6"/>
  <c r="AD11" i="6"/>
  <c r="AC11" i="6"/>
  <c r="AB11" i="6"/>
  <c r="AA11" i="6"/>
  <c r="Z11" i="6"/>
  <c r="Y11" i="6"/>
  <c r="X11" i="6"/>
  <c r="W11" i="6"/>
  <c r="V11" i="6"/>
  <c r="U11" i="6"/>
  <c r="T11" i="6"/>
  <c r="S11" i="6"/>
  <c r="R11" i="6"/>
  <c r="AD10" i="6"/>
  <c r="AC10" i="6"/>
  <c r="AC13" i="6" s="1"/>
  <c r="AB10" i="6"/>
  <c r="AA10" i="6"/>
  <c r="Z10" i="6"/>
  <c r="Y10" i="6"/>
  <c r="X10" i="6"/>
  <c r="W10" i="6"/>
  <c r="V10" i="6"/>
  <c r="U10" i="6"/>
  <c r="U13" i="6" s="1"/>
  <c r="T10" i="6"/>
  <c r="S10" i="6"/>
  <c r="R10" i="6"/>
  <c r="AD9" i="6"/>
  <c r="AC9" i="6"/>
  <c r="AB9" i="6"/>
  <c r="AA9" i="6"/>
  <c r="Z9" i="6"/>
  <c r="Z13" i="6" s="1"/>
  <c r="Y9" i="6"/>
  <c r="Y13" i="6" s="1"/>
  <c r="X9" i="6"/>
  <c r="W9" i="6"/>
  <c r="V9" i="6"/>
  <c r="U9" i="6"/>
  <c r="T9" i="6"/>
  <c r="S9" i="6"/>
  <c r="R9" i="6"/>
  <c r="R13" i="6" s="1"/>
  <c r="AD8" i="6"/>
  <c r="AD13" i="6" s="1"/>
  <c r="AC8" i="6"/>
  <c r="AB8" i="6"/>
  <c r="AA8" i="6"/>
  <c r="Z8" i="6"/>
  <c r="Y8" i="6"/>
  <c r="X8" i="6"/>
  <c r="W8" i="6"/>
  <c r="V8" i="6"/>
  <c r="V13" i="6" s="1"/>
  <c r="U8" i="6"/>
  <c r="T8" i="6"/>
  <c r="S8" i="6"/>
  <c r="R8" i="6"/>
  <c r="AD7" i="6"/>
  <c r="AC7" i="6"/>
  <c r="AB7" i="6"/>
  <c r="AB13" i="6" s="1"/>
  <c r="AA7" i="6"/>
  <c r="Z7" i="6"/>
  <c r="Y7" i="6"/>
  <c r="X7" i="6"/>
  <c r="X13" i="6" s="1"/>
  <c r="W7" i="6"/>
  <c r="V7" i="6"/>
  <c r="U7" i="6"/>
  <c r="T7" i="6"/>
  <c r="T13" i="6" s="1"/>
  <c r="S7" i="6"/>
  <c r="R7" i="6"/>
  <c r="AA164" i="16"/>
  <c r="S164" i="16"/>
  <c r="Q164" i="16"/>
  <c r="P164" i="16"/>
  <c r="O164" i="16"/>
  <c r="N164" i="16"/>
  <c r="M164" i="16"/>
  <c r="L164" i="16"/>
  <c r="K164" i="16"/>
  <c r="J164" i="16"/>
  <c r="I164" i="16"/>
  <c r="H164" i="16"/>
  <c r="G164" i="16"/>
  <c r="F164" i="16"/>
  <c r="AD163" i="16"/>
  <c r="AC163" i="16"/>
  <c r="AB163" i="16"/>
  <c r="AB164" i="16" s="1"/>
  <c r="AA163" i="16"/>
  <c r="Z163" i="16"/>
  <c r="Y163" i="16"/>
  <c r="X163" i="16"/>
  <c r="X164" i="16" s="1"/>
  <c r="W163" i="16"/>
  <c r="V163" i="16"/>
  <c r="U163" i="16"/>
  <c r="T163" i="16"/>
  <c r="T164" i="16" s="1"/>
  <c r="S163" i="16"/>
  <c r="R163" i="16"/>
  <c r="AD162" i="16"/>
  <c r="AC162" i="16"/>
  <c r="AB162" i="16"/>
  <c r="AA162" i="16"/>
  <c r="Z162" i="16"/>
  <c r="Y162" i="16"/>
  <c r="X162" i="16"/>
  <c r="W162" i="16"/>
  <c r="V162" i="16"/>
  <c r="U162" i="16"/>
  <c r="T162" i="16"/>
  <c r="S162" i="16"/>
  <c r="R162" i="16"/>
  <c r="AD161" i="16"/>
  <c r="AC161" i="16"/>
  <c r="AB161" i="16"/>
  <c r="AA161" i="16"/>
  <c r="Z161" i="16"/>
  <c r="Y161" i="16"/>
  <c r="X161" i="16"/>
  <c r="W161" i="16"/>
  <c r="V161" i="16"/>
  <c r="U161" i="16"/>
  <c r="T161" i="16"/>
  <c r="S161" i="16"/>
  <c r="R161" i="16"/>
  <c r="AD160" i="16"/>
  <c r="AD164" i="16" s="1"/>
  <c r="AC160" i="16"/>
  <c r="AB160" i="16"/>
  <c r="AA160" i="16"/>
  <c r="Z160" i="16"/>
  <c r="Z164" i="16" s="1"/>
  <c r="Y160" i="16"/>
  <c r="X160" i="16"/>
  <c r="W160" i="16"/>
  <c r="W164" i="16" s="1"/>
  <c r="V160" i="16"/>
  <c r="V164" i="16" s="1"/>
  <c r="U160" i="16"/>
  <c r="T160" i="16"/>
  <c r="S160" i="16"/>
  <c r="R160" i="16"/>
  <c r="R164" i="16" s="1"/>
  <c r="P156" i="16"/>
  <c r="L156" i="16"/>
  <c r="H156" i="16"/>
  <c r="Y155" i="16"/>
  <c r="Q155" i="16"/>
  <c r="Q156" i="16" s="1"/>
  <c r="P155" i="16"/>
  <c r="O155" i="16"/>
  <c r="N155" i="16"/>
  <c r="M155" i="16"/>
  <c r="M156" i="16" s="1"/>
  <c r="L155" i="16"/>
  <c r="K155" i="16"/>
  <c r="J155" i="16"/>
  <c r="I155" i="16"/>
  <c r="I156" i="16" s="1"/>
  <c r="H155" i="16"/>
  <c r="G155" i="16"/>
  <c r="F155" i="16"/>
  <c r="AD154" i="16"/>
  <c r="AC154" i="16"/>
  <c r="AB154" i="16"/>
  <c r="AA154" i="16"/>
  <c r="Z154" i="16"/>
  <c r="Y154" i="16"/>
  <c r="X154" i="16"/>
  <c r="W154" i="16"/>
  <c r="V154" i="16"/>
  <c r="U154" i="16"/>
  <c r="T154" i="16"/>
  <c r="S154" i="16"/>
  <c r="R154" i="16"/>
  <c r="AD153" i="16"/>
  <c r="AC153" i="16"/>
  <c r="AB153" i="16"/>
  <c r="AA153" i="16"/>
  <c r="Z153" i="16"/>
  <c r="Y153" i="16"/>
  <c r="X153" i="16"/>
  <c r="W153" i="16"/>
  <c r="V153" i="16"/>
  <c r="U153" i="16"/>
  <c r="T153" i="16"/>
  <c r="S153" i="16"/>
  <c r="R153" i="16"/>
  <c r="AD152" i="16"/>
  <c r="AC152" i="16"/>
  <c r="AB152" i="16"/>
  <c r="AA152" i="16"/>
  <c r="Z152" i="16"/>
  <c r="Y152" i="16"/>
  <c r="X152" i="16"/>
  <c r="W152" i="16"/>
  <c r="V152" i="16"/>
  <c r="U152" i="16"/>
  <c r="T152" i="16"/>
  <c r="S152" i="16"/>
  <c r="R152" i="16"/>
  <c r="AD151" i="16"/>
  <c r="AC151" i="16"/>
  <c r="AB151" i="16"/>
  <c r="AA151" i="16"/>
  <c r="Z151" i="16"/>
  <c r="Y151" i="16"/>
  <c r="X151" i="16"/>
  <c r="W151" i="16"/>
  <c r="V151" i="16"/>
  <c r="U151" i="16"/>
  <c r="T151" i="16"/>
  <c r="S151" i="16"/>
  <c r="R151" i="16"/>
  <c r="AD150" i="16"/>
  <c r="AC150" i="16"/>
  <c r="AB150" i="16"/>
  <c r="AA150" i="16"/>
  <c r="Z150" i="16"/>
  <c r="Y150" i="16"/>
  <c r="X150" i="16"/>
  <c r="W150" i="16"/>
  <c r="V150" i="16"/>
  <c r="U150" i="16"/>
  <c r="T150" i="16"/>
  <c r="S150" i="16"/>
  <c r="R150" i="16"/>
  <c r="AD149" i="16"/>
  <c r="AC149" i="16"/>
  <c r="AB149" i="16"/>
  <c r="AA149" i="16"/>
  <c r="Z149" i="16"/>
  <c r="Y149" i="16"/>
  <c r="X149" i="16"/>
  <c r="W149" i="16"/>
  <c r="V149" i="16"/>
  <c r="U149" i="16"/>
  <c r="T149" i="16"/>
  <c r="S149" i="16"/>
  <c r="R149" i="16"/>
  <c r="AD148" i="16"/>
  <c r="AC148" i="16"/>
  <c r="AB148" i="16"/>
  <c r="AA148" i="16"/>
  <c r="Z148" i="16"/>
  <c r="Y148" i="16"/>
  <c r="X148" i="16"/>
  <c r="W148" i="16"/>
  <c r="V148" i="16"/>
  <c r="U148" i="16"/>
  <c r="T148" i="16"/>
  <c r="S148" i="16"/>
  <c r="R148" i="16"/>
  <c r="AD147" i="16"/>
  <c r="AD155" i="16" s="1"/>
  <c r="AC147" i="16"/>
  <c r="AC155" i="16" s="1"/>
  <c r="AB147" i="16"/>
  <c r="AA147" i="16"/>
  <c r="Z147" i="16"/>
  <c r="Z155" i="16" s="1"/>
  <c r="Y147" i="16"/>
  <c r="X147" i="16"/>
  <c r="W147" i="16"/>
  <c r="V147" i="16"/>
  <c r="V155" i="16" s="1"/>
  <c r="U147" i="16"/>
  <c r="U155" i="16" s="1"/>
  <c r="T147" i="16"/>
  <c r="S147" i="16"/>
  <c r="R147" i="16"/>
  <c r="R155" i="16" s="1"/>
  <c r="AD144" i="16"/>
  <c r="W144" i="16"/>
  <c r="V144" i="16"/>
  <c r="V156" i="16" s="1"/>
  <c r="Q144" i="16"/>
  <c r="P144" i="16"/>
  <c r="O144" i="16"/>
  <c r="O156" i="16" s="1"/>
  <c r="N144" i="16"/>
  <c r="M144" i="16"/>
  <c r="L144" i="16"/>
  <c r="K144" i="16"/>
  <c r="K156" i="16" s="1"/>
  <c r="J144" i="16"/>
  <c r="I144" i="16"/>
  <c r="H144" i="16"/>
  <c r="G144" i="16"/>
  <c r="G156" i="16" s="1"/>
  <c r="F144" i="16"/>
  <c r="AD143" i="16"/>
  <c r="AC143" i="16"/>
  <c r="AB143" i="16"/>
  <c r="AA143" i="16"/>
  <c r="Z143" i="16"/>
  <c r="Y143" i="16"/>
  <c r="X143" i="16"/>
  <c r="W143" i="16"/>
  <c r="V143" i="16"/>
  <c r="U143" i="16"/>
  <c r="T143" i="16"/>
  <c r="S143" i="16"/>
  <c r="R143" i="16"/>
  <c r="AD142" i="16"/>
  <c r="AC142" i="16"/>
  <c r="AB142" i="16"/>
  <c r="AA142" i="16"/>
  <c r="Z142" i="16"/>
  <c r="Y142" i="16"/>
  <c r="X142" i="16"/>
  <c r="W142" i="16"/>
  <c r="V142" i="16"/>
  <c r="U142" i="16"/>
  <c r="T142" i="16"/>
  <c r="S142" i="16"/>
  <c r="R142" i="16"/>
  <c r="AD141" i="16"/>
  <c r="AC141" i="16"/>
  <c r="AB141" i="16"/>
  <c r="AA141" i="16"/>
  <c r="Z141" i="16"/>
  <c r="Y141" i="16"/>
  <c r="X141" i="16"/>
  <c r="W141" i="16"/>
  <c r="V141" i="16"/>
  <c r="U141" i="16"/>
  <c r="T141" i="16"/>
  <c r="S141" i="16"/>
  <c r="R141" i="16"/>
  <c r="AD140" i="16"/>
  <c r="AC140" i="16"/>
  <c r="AB140" i="16"/>
  <c r="AA140" i="16"/>
  <c r="AA144" i="16" s="1"/>
  <c r="Z140" i="16"/>
  <c r="Y140" i="16"/>
  <c r="X140" i="16"/>
  <c r="W140" i="16"/>
  <c r="V140" i="16"/>
  <c r="U140" i="16"/>
  <c r="T140" i="16"/>
  <c r="S140" i="16"/>
  <c r="S144" i="16" s="1"/>
  <c r="R140" i="16"/>
  <c r="AD139" i="16"/>
  <c r="AC139" i="16"/>
  <c r="AB139" i="16"/>
  <c r="AA139" i="16"/>
  <c r="Z139" i="16"/>
  <c r="Y139" i="16"/>
  <c r="X139" i="16"/>
  <c r="W139" i="16"/>
  <c r="V139" i="16"/>
  <c r="U139" i="16"/>
  <c r="T139" i="16"/>
  <c r="S139" i="16"/>
  <c r="R139" i="16"/>
  <c r="AD138" i="16"/>
  <c r="AC138" i="16"/>
  <c r="AB138" i="16"/>
  <c r="AA138" i="16"/>
  <c r="Z138" i="16"/>
  <c r="Y138" i="16"/>
  <c r="X138" i="16"/>
  <c r="W138" i="16"/>
  <c r="V138" i="16"/>
  <c r="U138" i="16"/>
  <c r="T138" i="16"/>
  <c r="S138" i="16"/>
  <c r="R138" i="16"/>
  <c r="AD137" i="16"/>
  <c r="AC137" i="16"/>
  <c r="AB137" i="16"/>
  <c r="AB144" i="16" s="1"/>
  <c r="AA137" i="16"/>
  <c r="Z137" i="16"/>
  <c r="Z144" i="16" s="1"/>
  <c r="Z156" i="16" s="1"/>
  <c r="Y137" i="16"/>
  <c r="X137" i="16"/>
  <c r="X144" i="16" s="1"/>
  <c r="W137" i="16"/>
  <c r="V137" i="16"/>
  <c r="U137" i="16"/>
  <c r="T137" i="16"/>
  <c r="T144" i="16" s="1"/>
  <c r="S137" i="16"/>
  <c r="R137" i="16"/>
  <c r="R144" i="16" s="1"/>
  <c r="R156" i="16" s="1"/>
  <c r="J133" i="16"/>
  <c r="D133" i="16"/>
  <c r="AC132" i="16"/>
  <c r="U132" i="16"/>
  <c r="Q132" i="16"/>
  <c r="P132" i="16"/>
  <c r="O132" i="16"/>
  <c r="N132" i="16"/>
  <c r="M132" i="16"/>
  <c r="L132" i="16"/>
  <c r="K132" i="16"/>
  <c r="J132" i="16"/>
  <c r="I132" i="16"/>
  <c r="H132" i="16"/>
  <c r="G132" i="16"/>
  <c r="F132" i="16"/>
  <c r="AD131" i="16"/>
  <c r="AC131" i="16"/>
  <c r="AB131" i="16"/>
  <c r="AA131" i="16"/>
  <c r="Z131" i="16"/>
  <c r="Y131" i="16"/>
  <c r="X131" i="16"/>
  <c r="W131" i="16"/>
  <c r="V131" i="16"/>
  <c r="U131" i="16"/>
  <c r="T131" i="16"/>
  <c r="S131" i="16"/>
  <c r="R131" i="16"/>
  <c r="AD130" i="16"/>
  <c r="AC130" i="16"/>
  <c r="AB130" i="16"/>
  <c r="AA130" i="16"/>
  <c r="Z130" i="16"/>
  <c r="Y130" i="16"/>
  <c r="X130" i="16"/>
  <c r="W130" i="16"/>
  <c r="V130" i="16"/>
  <c r="U130" i="16"/>
  <c r="T130" i="16"/>
  <c r="S130" i="16"/>
  <c r="R130" i="16"/>
  <c r="AD129" i="16"/>
  <c r="AC129" i="16"/>
  <c r="AB129" i="16"/>
  <c r="AA129" i="16"/>
  <c r="Z129" i="16"/>
  <c r="Y129" i="16"/>
  <c r="X129" i="16"/>
  <c r="W129" i="16"/>
  <c r="V129" i="16"/>
  <c r="U129" i="16"/>
  <c r="T129" i="16"/>
  <c r="S129" i="16"/>
  <c r="R129" i="16"/>
  <c r="AD128" i="16"/>
  <c r="AC128" i="16"/>
  <c r="AB128" i="16"/>
  <c r="AA128" i="16"/>
  <c r="Z128" i="16"/>
  <c r="Y128" i="16"/>
  <c r="X128" i="16"/>
  <c r="W128" i="16"/>
  <c r="V128" i="16"/>
  <c r="U128" i="16"/>
  <c r="T128" i="16"/>
  <c r="S128" i="16"/>
  <c r="R128" i="16"/>
  <c r="AD127" i="16"/>
  <c r="AC127" i="16"/>
  <c r="AB127" i="16"/>
  <c r="AA127" i="16"/>
  <c r="Z127" i="16"/>
  <c r="Y127" i="16"/>
  <c r="X127" i="16"/>
  <c r="W127" i="16"/>
  <c r="V127" i="16"/>
  <c r="U127" i="16"/>
  <c r="T127" i="16"/>
  <c r="S127" i="16"/>
  <c r="R127" i="16"/>
  <c r="AD126" i="16"/>
  <c r="AC126" i="16"/>
  <c r="AB126" i="16"/>
  <c r="AA126" i="16"/>
  <c r="Z126" i="16"/>
  <c r="Y126" i="16"/>
  <c r="X126" i="16"/>
  <c r="W126" i="16"/>
  <c r="V126" i="16"/>
  <c r="U126" i="16"/>
  <c r="T126" i="16"/>
  <c r="S126" i="16"/>
  <c r="R126" i="16"/>
  <c r="AD125" i="16"/>
  <c r="AC125" i="16"/>
  <c r="AB125" i="16"/>
  <c r="AA125" i="16"/>
  <c r="Z125" i="16"/>
  <c r="Y125" i="16"/>
  <c r="X125" i="16"/>
  <c r="W125" i="16"/>
  <c r="V125" i="16"/>
  <c r="U125" i="16"/>
  <c r="T125" i="16"/>
  <c r="S125" i="16"/>
  <c r="R125" i="16"/>
  <c r="AD124" i="16"/>
  <c r="AC124" i="16"/>
  <c r="AB124" i="16"/>
  <c r="AB132" i="16" s="1"/>
  <c r="AA124" i="16"/>
  <c r="Z124" i="16"/>
  <c r="Y124" i="16"/>
  <c r="X124" i="16"/>
  <c r="X132" i="16" s="1"/>
  <c r="W124" i="16"/>
  <c r="V124" i="16"/>
  <c r="U124" i="16"/>
  <c r="T124" i="16"/>
  <c r="T132" i="16" s="1"/>
  <c r="S124" i="16"/>
  <c r="R124" i="16"/>
  <c r="AD123" i="16"/>
  <c r="AC123" i="16"/>
  <c r="AB123" i="16"/>
  <c r="AA123" i="16"/>
  <c r="Z123" i="16"/>
  <c r="Y123" i="16"/>
  <c r="Y132" i="16" s="1"/>
  <c r="X123" i="16"/>
  <c r="W123" i="16"/>
  <c r="V123" i="16"/>
  <c r="U123" i="16"/>
  <c r="T123" i="16"/>
  <c r="S123" i="16"/>
  <c r="R123" i="16"/>
  <c r="AD122" i="16"/>
  <c r="AD132" i="16" s="1"/>
  <c r="AC122" i="16"/>
  <c r="AB122" i="16"/>
  <c r="AA122" i="16"/>
  <c r="Z122" i="16"/>
  <c r="Z132" i="16" s="1"/>
  <c r="Y122" i="16"/>
  <c r="X122" i="16"/>
  <c r="W122" i="16"/>
  <c r="V122" i="16"/>
  <c r="V132" i="16" s="1"/>
  <c r="U122" i="16"/>
  <c r="T122" i="16"/>
  <c r="S122" i="16"/>
  <c r="R122" i="16"/>
  <c r="R132" i="16" s="1"/>
  <c r="Q119" i="16"/>
  <c r="P119" i="16"/>
  <c r="O119" i="16"/>
  <c r="N119" i="16"/>
  <c r="M119" i="16"/>
  <c r="L119" i="16"/>
  <c r="K119" i="16"/>
  <c r="K133" i="16" s="1"/>
  <c r="J119" i="16"/>
  <c r="I119" i="16"/>
  <c r="H119" i="16"/>
  <c r="G119" i="16"/>
  <c r="F119" i="16"/>
  <c r="AD118" i="16"/>
  <c r="AC118" i="16"/>
  <c r="AB118" i="16"/>
  <c r="AA118" i="16"/>
  <c r="Z118" i="16"/>
  <c r="Y118" i="16"/>
  <c r="X118" i="16"/>
  <c r="W118" i="16"/>
  <c r="V118" i="16"/>
  <c r="U118" i="16"/>
  <c r="T118" i="16"/>
  <c r="S118" i="16"/>
  <c r="R118" i="16"/>
  <c r="AD117" i="16"/>
  <c r="AC117" i="16"/>
  <c r="AB117" i="16"/>
  <c r="AA117" i="16"/>
  <c r="Z117" i="16"/>
  <c r="Y117" i="16"/>
  <c r="X117" i="16"/>
  <c r="W117" i="16"/>
  <c r="V117" i="16"/>
  <c r="U117" i="16"/>
  <c r="T117" i="16"/>
  <c r="S117" i="16"/>
  <c r="R117" i="16"/>
  <c r="AD116" i="16"/>
  <c r="AC116" i="16"/>
  <c r="AB116" i="16"/>
  <c r="AA116" i="16"/>
  <c r="Z116" i="16"/>
  <c r="Y116" i="16"/>
  <c r="X116" i="16"/>
  <c r="W116" i="16"/>
  <c r="V116" i="16"/>
  <c r="U116" i="16"/>
  <c r="T116" i="16"/>
  <c r="S116" i="16"/>
  <c r="R116" i="16"/>
  <c r="AD115" i="16"/>
  <c r="AC115" i="16"/>
  <c r="AB115" i="16"/>
  <c r="AA115" i="16"/>
  <c r="AA119" i="16" s="1"/>
  <c r="Z115" i="16"/>
  <c r="Y115" i="16"/>
  <c r="X115" i="16"/>
  <c r="W115" i="16"/>
  <c r="W119" i="16" s="1"/>
  <c r="V115" i="16"/>
  <c r="U115" i="16"/>
  <c r="T115" i="16"/>
  <c r="S115" i="16"/>
  <c r="S119" i="16" s="1"/>
  <c r="R115" i="16"/>
  <c r="AD114" i="16"/>
  <c r="AC114" i="16"/>
  <c r="AB114" i="16"/>
  <c r="AB119" i="16" s="1"/>
  <c r="AA114" i="16"/>
  <c r="Z114" i="16"/>
  <c r="Y114" i="16"/>
  <c r="X114" i="16"/>
  <c r="X119" i="16" s="1"/>
  <c r="W114" i="16"/>
  <c r="V114" i="16"/>
  <c r="U114" i="16"/>
  <c r="T114" i="16"/>
  <c r="T119" i="16" s="1"/>
  <c r="S114" i="16"/>
  <c r="R114" i="16"/>
  <c r="AD113" i="16"/>
  <c r="AC113" i="16"/>
  <c r="AC119" i="16" s="1"/>
  <c r="AB113" i="16"/>
  <c r="AA113" i="16"/>
  <c r="Z113" i="16"/>
  <c r="Y113" i="16"/>
  <c r="Y119" i="16" s="1"/>
  <c r="X113" i="16"/>
  <c r="W113" i="16"/>
  <c r="V113" i="16"/>
  <c r="U113" i="16"/>
  <c r="U119" i="16" s="1"/>
  <c r="T113" i="16"/>
  <c r="S113" i="16"/>
  <c r="R113" i="16"/>
  <c r="AD110" i="16"/>
  <c r="W110" i="16"/>
  <c r="V110" i="16"/>
  <c r="Q110" i="16"/>
  <c r="P110" i="16"/>
  <c r="O110" i="16"/>
  <c r="N110" i="16"/>
  <c r="M110" i="16"/>
  <c r="L110" i="16"/>
  <c r="K110" i="16"/>
  <c r="J110" i="16"/>
  <c r="I110" i="16"/>
  <c r="H110" i="16"/>
  <c r="G110" i="16"/>
  <c r="F110" i="16"/>
  <c r="AD109" i="16"/>
  <c r="AC109" i="16"/>
  <c r="AB109" i="16"/>
  <c r="AA109" i="16"/>
  <c r="Z109" i="16"/>
  <c r="Y109" i="16"/>
  <c r="X109" i="16"/>
  <c r="W109" i="16"/>
  <c r="V109" i="16"/>
  <c r="U109" i="16"/>
  <c r="T109" i="16"/>
  <c r="S109" i="16"/>
  <c r="R109" i="16"/>
  <c r="AD108" i="16"/>
  <c r="AC108" i="16"/>
  <c r="AB108" i="16"/>
  <c r="AA108" i="16"/>
  <c r="Z108" i="16"/>
  <c r="Y108" i="16"/>
  <c r="X108" i="16"/>
  <c r="W108" i="16"/>
  <c r="V108" i="16"/>
  <c r="U108" i="16"/>
  <c r="T108" i="16"/>
  <c r="S108" i="16"/>
  <c r="R108" i="16"/>
  <c r="AD107" i="16"/>
  <c r="AC107" i="16"/>
  <c r="AB107" i="16"/>
  <c r="AA107" i="16"/>
  <c r="Z107" i="16"/>
  <c r="Y107" i="16"/>
  <c r="X107" i="16"/>
  <c r="W107" i="16"/>
  <c r="V107" i="16"/>
  <c r="U107" i="16"/>
  <c r="T107" i="16"/>
  <c r="S107" i="16"/>
  <c r="R107" i="16"/>
  <c r="AD106" i="16"/>
  <c r="AC106" i="16"/>
  <c r="AB106" i="16"/>
  <c r="AA106" i="16"/>
  <c r="Z106" i="16"/>
  <c r="Z110" i="16" s="1"/>
  <c r="Y106" i="16"/>
  <c r="X106" i="16"/>
  <c r="W106" i="16"/>
  <c r="V106" i="16"/>
  <c r="U106" i="16"/>
  <c r="T106" i="16"/>
  <c r="S106" i="16"/>
  <c r="R106" i="16"/>
  <c r="R110" i="16" s="1"/>
  <c r="AD105" i="16"/>
  <c r="AC105" i="16"/>
  <c r="AB105" i="16"/>
  <c r="AA105" i="16"/>
  <c r="AA110" i="16" s="1"/>
  <c r="Z105" i="16"/>
  <c r="Y105" i="16"/>
  <c r="X105" i="16"/>
  <c r="W105" i="16"/>
  <c r="V105" i="16"/>
  <c r="U105" i="16"/>
  <c r="T105" i="16"/>
  <c r="S105" i="16"/>
  <c r="S110" i="16" s="1"/>
  <c r="R105" i="16"/>
  <c r="AD104" i="16"/>
  <c r="AC104" i="16"/>
  <c r="AC110" i="16" s="1"/>
  <c r="AB104" i="16"/>
  <c r="AA104" i="16"/>
  <c r="Z104" i="16"/>
  <c r="Y104" i="16"/>
  <c r="Y110" i="16" s="1"/>
  <c r="X104" i="16"/>
  <c r="W104" i="16"/>
  <c r="V104" i="16"/>
  <c r="U104" i="16"/>
  <c r="U110" i="16" s="1"/>
  <c r="T104" i="16"/>
  <c r="S104" i="16"/>
  <c r="R104" i="16"/>
  <c r="AC101" i="16"/>
  <c r="Y101" i="16"/>
  <c r="U101" i="16"/>
  <c r="Q101" i="16"/>
  <c r="P101" i="16"/>
  <c r="O101" i="16"/>
  <c r="N101" i="16"/>
  <c r="N133" i="16" s="1"/>
  <c r="M101" i="16"/>
  <c r="L101" i="16"/>
  <c r="K101" i="16"/>
  <c r="J101" i="16"/>
  <c r="I101" i="16"/>
  <c r="H101" i="16"/>
  <c r="G101" i="16"/>
  <c r="F101" i="16"/>
  <c r="F133" i="16" s="1"/>
  <c r="AD100" i="16"/>
  <c r="AD101" i="16" s="1"/>
  <c r="AC100" i="16"/>
  <c r="AB100" i="16"/>
  <c r="AA100" i="16"/>
  <c r="Z100" i="16"/>
  <c r="Z101" i="16" s="1"/>
  <c r="Y100" i="16"/>
  <c r="X100" i="16"/>
  <c r="W100" i="16"/>
  <c r="V100" i="16"/>
  <c r="V101" i="16" s="1"/>
  <c r="U100" i="16"/>
  <c r="T100" i="16"/>
  <c r="S100" i="16"/>
  <c r="R100" i="16"/>
  <c r="R101" i="16" s="1"/>
  <c r="AD99" i="16"/>
  <c r="AC99" i="16"/>
  <c r="AB99" i="16"/>
  <c r="AB101" i="16" s="1"/>
  <c r="AA99" i="16"/>
  <c r="AA101" i="16" s="1"/>
  <c r="Z99" i="16"/>
  <c r="Y99" i="16"/>
  <c r="X99" i="16"/>
  <c r="X101" i="16" s="1"/>
  <c r="W99" i="16"/>
  <c r="W101" i="16" s="1"/>
  <c r="V99" i="16"/>
  <c r="U99" i="16"/>
  <c r="T99" i="16"/>
  <c r="T101" i="16" s="1"/>
  <c r="S99" i="16"/>
  <c r="S101" i="16" s="1"/>
  <c r="R99" i="16"/>
  <c r="AB96" i="16"/>
  <c r="Y96" i="16"/>
  <c r="X96" i="16"/>
  <c r="T96" i="16"/>
  <c r="Q96" i="16"/>
  <c r="P96" i="16"/>
  <c r="O96" i="16"/>
  <c r="N96" i="16"/>
  <c r="M96" i="16"/>
  <c r="L96" i="16"/>
  <c r="K96" i="16"/>
  <c r="J96" i="16"/>
  <c r="I96" i="16"/>
  <c r="H96" i="16"/>
  <c r="G96" i="16"/>
  <c r="F96" i="16"/>
  <c r="AD95" i="16"/>
  <c r="AC95" i="16"/>
  <c r="AC96" i="16" s="1"/>
  <c r="AB95" i="16"/>
  <c r="AA95" i="16"/>
  <c r="Z95" i="16"/>
  <c r="Y95" i="16"/>
  <c r="X95" i="16"/>
  <c r="W95" i="16"/>
  <c r="V95" i="16"/>
  <c r="U95" i="16"/>
  <c r="U96" i="16" s="1"/>
  <c r="T95" i="16"/>
  <c r="S95" i="16"/>
  <c r="R95" i="16"/>
  <c r="AD94" i="16"/>
  <c r="AC94" i="16"/>
  <c r="AB94" i="16"/>
  <c r="AA94" i="16"/>
  <c r="AA96" i="16" s="1"/>
  <c r="Z94" i="16"/>
  <c r="Y94" i="16"/>
  <c r="X94" i="16"/>
  <c r="W94" i="16"/>
  <c r="W96" i="16" s="1"/>
  <c r="V94" i="16"/>
  <c r="U94" i="16"/>
  <c r="T94" i="16"/>
  <c r="S94" i="16"/>
  <c r="S96" i="16" s="1"/>
  <c r="R94" i="16"/>
  <c r="AA91" i="16"/>
  <c r="X91" i="16"/>
  <c r="S91" i="16"/>
  <c r="Q91" i="16"/>
  <c r="P91" i="16"/>
  <c r="O91" i="16"/>
  <c r="N91" i="16"/>
  <c r="M91" i="16"/>
  <c r="L91" i="16"/>
  <c r="K91" i="16"/>
  <c r="J91" i="16"/>
  <c r="I91" i="16"/>
  <c r="H91" i="16"/>
  <c r="G91" i="16"/>
  <c r="F91" i="16"/>
  <c r="AD90" i="16"/>
  <c r="AC90" i="16"/>
  <c r="AB90" i="16"/>
  <c r="AA90" i="16"/>
  <c r="Z90" i="16"/>
  <c r="Y90" i="16"/>
  <c r="X90" i="16"/>
  <c r="W90" i="16"/>
  <c r="V90" i="16"/>
  <c r="U90" i="16"/>
  <c r="T90" i="16"/>
  <c r="S90" i="16"/>
  <c r="R90" i="16"/>
  <c r="AD89" i="16"/>
  <c r="AC89" i="16"/>
  <c r="AB89" i="16"/>
  <c r="AA89" i="16"/>
  <c r="Z89" i="16"/>
  <c r="Y89" i="16"/>
  <c r="X89" i="16"/>
  <c r="W89" i="16"/>
  <c r="V89" i="16"/>
  <c r="U89" i="16"/>
  <c r="T89" i="16"/>
  <c r="S89" i="16"/>
  <c r="R89" i="16"/>
  <c r="AD88" i="16"/>
  <c r="AC88" i="16"/>
  <c r="AB88" i="16"/>
  <c r="AA88" i="16"/>
  <c r="Z88" i="16"/>
  <c r="Y88" i="16"/>
  <c r="X88" i="16"/>
  <c r="W88" i="16"/>
  <c r="W91" i="16" s="1"/>
  <c r="V88" i="16"/>
  <c r="U88" i="16"/>
  <c r="T88" i="16"/>
  <c r="S88" i="16"/>
  <c r="R88" i="16"/>
  <c r="AD87" i="16"/>
  <c r="AD91" i="16" s="1"/>
  <c r="AC87" i="16"/>
  <c r="AB87" i="16"/>
  <c r="AA87" i="16"/>
  <c r="Z87" i="16"/>
  <c r="Z91" i="16" s="1"/>
  <c r="Y87" i="16"/>
  <c r="X87" i="16"/>
  <c r="W87" i="16"/>
  <c r="V87" i="16"/>
  <c r="V91" i="16" s="1"/>
  <c r="U87" i="16"/>
  <c r="T87" i="16"/>
  <c r="S87" i="16"/>
  <c r="R87" i="16"/>
  <c r="R91" i="16" s="1"/>
  <c r="AD86" i="16"/>
  <c r="AC86" i="16"/>
  <c r="AC91" i="16" s="1"/>
  <c r="AB86" i="16"/>
  <c r="AB91" i="16" s="1"/>
  <c r="AA86" i="16"/>
  <c r="Z86" i="16"/>
  <c r="Y86" i="16"/>
  <c r="Y91" i="16" s="1"/>
  <c r="X86" i="16"/>
  <c r="W86" i="16"/>
  <c r="V86" i="16"/>
  <c r="U86" i="16"/>
  <c r="U91" i="16" s="1"/>
  <c r="T86" i="16"/>
  <c r="T91" i="16" s="1"/>
  <c r="S86" i="16"/>
  <c r="R86" i="16"/>
  <c r="Q81" i="16"/>
  <c r="P81" i="16"/>
  <c r="O81" i="16"/>
  <c r="N81" i="16"/>
  <c r="M81" i="16"/>
  <c r="L81" i="16"/>
  <c r="K81" i="16"/>
  <c r="J81" i="16"/>
  <c r="I81" i="16"/>
  <c r="H81" i="16"/>
  <c r="G81" i="16"/>
  <c r="F81" i="16"/>
  <c r="AD80" i="16"/>
  <c r="AC80" i="16"/>
  <c r="AB80" i="16"/>
  <c r="AA80" i="16"/>
  <c r="Z80" i="16"/>
  <c r="Y80" i="16"/>
  <c r="X80" i="16"/>
  <c r="W80" i="16"/>
  <c r="V80" i="16"/>
  <c r="U80" i="16"/>
  <c r="T80" i="16"/>
  <c r="S80" i="16"/>
  <c r="R80" i="16"/>
  <c r="AD79" i="16"/>
  <c r="AC79" i="16"/>
  <c r="AB79" i="16"/>
  <c r="AA79" i="16"/>
  <c r="Z79" i="16"/>
  <c r="Y79" i="16"/>
  <c r="X79" i="16"/>
  <c r="W79" i="16"/>
  <c r="V79" i="16"/>
  <c r="U79" i="16"/>
  <c r="T79" i="16"/>
  <c r="S79" i="16"/>
  <c r="R79" i="16"/>
  <c r="AD78" i="16"/>
  <c r="AC78" i="16"/>
  <c r="AB78" i="16"/>
  <c r="AA78" i="16"/>
  <c r="Z78" i="16"/>
  <c r="Y78" i="16"/>
  <c r="X78" i="16"/>
  <c r="W78" i="16"/>
  <c r="V78" i="16"/>
  <c r="U78" i="16"/>
  <c r="T78" i="16"/>
  <c r="S78" i="16"/>
  <c r="R78" i="16"/>
  <c r="AD77" i="16"/>
  <c r="AC77" i="16"/>
  <c r="AB77" i="16"/>
  <c r="AA77" i="16"/>
  <c r="Z77" i="16"/>
  <c r="Y77" i="16"/>
  <c r="X77" i="16"/>
  <c r="W77" i="16"/>
  <c r="V77" i="16"/>
  <c r="U77" i="16"/>
  <c r="T77" i="16"/>
  <c r="S77" i="16"/>
  <c r="S81" i="16" s="1"/>
  <c r="R77" i="16"/>
  <c r="AD76" i="16"/>
  <c r="AC76" i="16"/>
  <c r="AB76" i="16"/>
  <c r="AA76" i="16"/>
  <c r="Z76" i="16"/>
  <c r="Y76" i="16"/>
  <c r="X76" i="16"/>
  <c r="W76" i="16"/>
  <c r="V76" i="16"/>
  <c r="U76" i="16"/>
  <c r="T76" i="16"/>
  <c r="S76" i="16"/>
  <c r="R76" i="16"/>
  <c r="AD75" i="16"/>
  <c r="AC75" i="16"/>
  <c r="AB75" i="16"/>
  <c r="AA75" i="16"/>
  <c r="Z75" i="16"/>
  <c r="Y75" i="16"/>
  <c r="X75" i="16"/>
  <c r="W75" i="16"/>
  <c r="V75" i="16"/>
  <c r="U75" i="16"/>
  <c r="T75" i="16"/>
  <c r="S75" i="16"/>
  <c r="R75" i="16"/>
  <c r="AD74" i="16"/>
  <c r="AD81" i="16" s="1"/>
  <c r="AC74" i="16"/>
  <c r="AB74" i="16"/>
  <c r="AA74" i="16"/>
  <c r="Z74" i="16"/>
  <c r="Z81" i="16" s="1"/>
  <c r="Y74" i="16"/>
  <c r="X74" i="16"/>
  <c r="W74" i="16"/>
  <c r="V74" i="16"/>
  <c r="V81" i="16" s="1"/>
  <c r="U74" i="16"/>
  <c r="T74" i="16"/>
  <c r="S74" i="16"/>
  <c r="R74" i="16"/>
  <c r="R81" i="16" s="1"/>
  <c r="AD71" i="16"/>
  <c r="W71" i="16"/>
  <c r="V71" i="16"/>
  <c r="Q71" i="16"/>
  <c r="P71" i="16"/>
  <c r="O71" i="16"/>
  <c r="N71" i="16"/>
  <c r="M71" i="16"/>
  <c r="L71" i="16"/>
  <c r="K71" i="16"/>
  <c r="J71" i="16"/>
  <c r="I71" i="16"/>
  <c r="H71" i="16"/>
  <c r="G71" i="16"/>
  <c r="F71" i="16"/>
  <c r="AD70" i="16"/>
  <c r="AC70" i="16"/>
  <c r="AB70" i="16"/>
  <c r="AA70" i="16"/>
  <c r="Z70" i="16"/>
  <c r="Y70" i="16"/>
  <c r="X70" i="16"/>
  <c r="W70" i="16"/>
  <c r="V70" i="16"/>
  <c r="U70" i="16"/>
  <c r="T70" i="16"/>
  <c r="S70" i="16"/>
  <c r="R70" i="16"/>
  <c r="AD69" i="16"/>
  <c r="AC69" i="16"/>
  <c r="AB69" i="16"/>
  <c r="AA69" i="16"/>
  <c r="Z69" i="16"/>
  <c r="Y69" i="16"/>
  <c r="X69" i="16"/>
  <c r="W69" i="16"/>
  <c r="V69" i="16"/>
  <c r="U69" i="16"/>
  <c r="T69" i="16"/>
  <c r="S69" i="16"/>
  <c r="R69" i="16"/>
  <c r="AD68" i="16"/>
  <c r="AC68" i="16"/>
  <c r="AB68" i="16"/>
  <c r="AA68" i="16"/>
  <c r="Z68" i="16"/>
  <c r="Y68" i="16"/>
  <c r="X68" i="16"/>
  <c r="W68" i="16"/>
  <c r="V68" i="16"/>
  <c r="U68" i="16"/>
  <c r="T68" i="16"/>
  <c r="S68" i="16"/>
  <c r="R68" i="16"/>
  <c r="AD67" i="16"/>
  <c r="AC67" i="16"/>
  <c r="AC71" i="16" s="1"/>
  <c r="AB67" i="16"/>
  <c r="AA67" i="16"/>
  <c r="AA71" i="16" s="1"/>
  <c r="Z67" i="16"/>
  <c r="Z71" i="16" s="1"/>
  <c r="Y67" i="16"/>
  <c r="Y71" i="16" s="1"/>
  <c r="X67" i="16"/>
  <c r="W67" i="16"/>
  <c r="V67" i="16"/>
  <c r="U67" i="16"/>
  <c r="U71" i="16" s="1"/>
  <c r="T67" i="16"/>
  <c r="S67" i="16"/>
  <c r="S71" i="16" s="1"/>
  <c r="R67" i="16"/>
  <c r="R71" i="16" s="1"/>
  <c r="AD66" i="16"/>
  <c r="AC66" i="16"/>
  <c r="AB66" i="16"/>
  <c r="AB71" i="16" s="1"/>
  <c r="AA66" i="16"/>
  <c r="Z66" i="16"/>
  <c r="Y66" i="16"/>
  <c r="X66" i="16"/>
  <c r="X71" i="16" s="1"/>
  <c r="W66" i="16"/>
  <c r="V66" i="16"/>
  <c r="U66" i="16"/>
  <c r="T66" i="16"/>
  <c r="T71" i="16" s="1"/>
  <c r="S66" i="16"/>
  <c r="R66" i="16"/>
  <c r="AD63" i="16"/>
  <c r="AC63" i="16"/>
  <c r="AB63" i="16"/>
  <c r="AA63" i="16"/>
  <c r="Z63" i="16"/>
  <c r="Y63" i="16"/>
  <c r="X63" i="16"/>
  <c r="W63" i="16"/>
  <c r="V63" i="16"/>
  <c r="U63" i="16"/>
  <c r="T63" i="16"/>
  <c r="S63" i="16"/>
  <c r="R63" i="16"/>
  <c r="AC61" i="16"/>
  <c r="Y61" i="16"/>
  <c r="U61" i="16"/>
  <c r="Q61" i="16"/>
  <c r="P61" i="16"/>
  <c r="O61" i="16"/>
  <c r="N61" i="16"/>
  <c r="M61" i="16"/>
  <c r="L61" i="16"/>
  <c r="K61" i="16"/>
  <c r="J61" i="16"/>
  <c r="I61" i="16"/>
  <c r="H61" i="16"/>
  <c r="G61" i="16"/>
  <c r="F61" i="16"/>
  <c r="AD60" i="16"/>
  <c r="AD61" i="16" s="1"/>
  <c r="AC60" i="16"/>
  <c r="AB60" i="16"/>
  <c r="AA60" i="16"/>
  <c r="Z60" i="16"/>
  <c r="Z61" i="16" s="1"/>
  <c r="Y60" i="16"/>
  <c r="X60" i="16"/>
  <c r="W60" i="16"/>
  <c r="V60" i="16"/>
  <c r="V61" i="16" s="1"/>
  <c r="U60" i="16"/>
  <c r="T60" i="16"/>
  <c r="S60" i="16"/>
  <c r="R60" i="16"/>
  <c r="R61" i="16" s="1"/>
  <c r="AD59" i="16"/>
  <c r="AC59" i="16"/>
  <c r="AB59" i="16"/>
  <c r="AB61" i="16" s="1"/>
  <c r="AA59" i="16"/>
  <c r="AA61" i="16" s="1"/>
  <c r="Z59" i="16"/>
  <c r="Y59" i="16"/>
  <c r="X59" i="16"/>
  <c r="X61" i="16" s="1"/>
  <c r="W59" i="16"/>
  <c r="W61" i="16" s="1"/>
  <c r="V59" i="16"/>
  <c r="U59" i="16"/>
  <c r="T59" i="16"/>
  <c r="T61" i="16" s="1"/>
  <c r="S59" i="16"/>
  <c r="S61" i="16" s="1"/>
  <c r="R59" i="16"/>
  <c r="Y56" i="16"/>
  <c r="Q56" i="16"/>
  <c r="Q82" i="16" s="1"/>
  <c r="P56" i="16"/>
  <c r="O56" i="16"/>
  <c r="N56" i="16"/>
  <c r="M56" i="16"/>
  <c r="L56" i="16"/>
  <c r="K56" i="16"/>
  <c r="J56" i="16"/>
  <c r="I56" i="16"/>
  <c r="I82" i="16" s="1"/>
  <c r="H56" i="16"/>
  <c r="G56" i="16"/>
  <c r="F56" i="16"/>
  <c r="AD55" i="16"/>
  <c r="AC55" i="16"/>
  <c r="AC56" i="16" s="1"/>
  <c r="AB55" i="16"/>
  <c r="AA55" i="16"/>
  <c r="Z55" i="16"/>
  <c r="Y55" i="16"/>
  <c r="X55" i="16"/>
  <c r="W55" i="16"/>
  <c r="V55" i="16"/>
  <c r="U55" i="16"/>
  <c r="U56" i="16" s="1"/>
  <c r="T55" i="16"/>
  <c r="S55" i="16"/>
  <c r="R55" i="16"/>
  <c r="AD54" i="16"/>
  <c r="AC54" i="16"/>
  <c r="AB54" i="16"/>
  <c r="AA54" i="16"/>
  <c r="Z54" i="16"/>
  <c r="Y54" i="16"/>
  <c r="X54" i="16"/>
  <c r="W54" i="16"/>
  <c r="V54" i="16"/>
  <c r="U54" i="16"/>
  <c r="T54" i="16"/>
  <c r="S54" i="16"/>
  <c r="R54" i="16"/>
  <c r="AD53" i="16"/>
  <c r="AC53" i="16"/>
  <c r="AB53" i="16"/>
  <c r="AB56" i="16" s="1"/>
  <c r="AA53" i="16"/>
  <c r="Z53" i="16"/>
  <c r="Y53" i="16"/>
  <c r="X53" i="16"/>
  <c r="X56" i="16" s="1"/>
  <c r="W53" i="16"/>
  <c r="V53" i="16"/>
  <c r="U53" i="16"/>
  <c r="T53" i="16"/>
  <c r="T56" i="16" s="1"/>
  <c r="S53" i="16"/>
  <c r="R53" i="16"/>
  <c r="AC50" i="16"/>
  <c r="AB50" i="16"/>
  <c r="U50" i="16"/>
  <c r="T50" i="16"/>
  <c r="Q50" i="16"/>
  <c r="P50" i="16"/>
  <c r="O50" i="16"/>
  <c r="N50" i="16"/>
  <c r="M50" i="16"/>
  <c r="L50" i="16"/>
  <c r="K50" i="16"/>
  <c r="J50" i="16"/>
  <c r="I50" i="16"/>
  <c r="H50" i="16"/>
  <c r="G50" i="16"/>
  <c r="F50" i="16"/>
  <c r="AD49" i="16"/>
  <c r="AC49" i="16"/>
  <c r="AB49" i="16"/>
  <c r="AA49" i="16"/>
  <c r="Z49" i="16"/>
  <c r="Y49" i="16"/>
  <c r="X49" i="16"/>
  <c r="W49" i="16"/>
  <c r="V49" i="16"/>
  <c r="U49" i="16"/>
  <c r="T49" i="16"/>
  <c r="S49" i="16"/>
  <c r="R49" i="16"/>
  <c r="AD48" i="16"/>
  <c r="AC48" i="16"/>
  <c r="AB48" i="16"/>
  <c r="AA48" i="16"/>
  <c r="Z48" i="16"/>
  <c r="Y48" i="16"/>
  <c r="X48" i="16"/>
  <c r="W48" i="16"/>
  <c r="V48" i="16"/>
  <c r="U48" i="16"/>
  <c r="T48" i="16"/>
  <c r="S48" i="16"/>
  <c r="R48" i="16"/>
  <c r="AD47" i="16"/>
  <c r="AC47" i="16"/>
  <c r="AB47" i="16"/>
  <c r="AA47" i="16"/>
  <c r="Z47" i="16"/>
  <c r="Y47" i="16"/>
  <c r="X47" i="16"/>
  <c r="W47" i="16"/>
  <c r="V47" i="16"/>
  <c r="U47" i="16"/>
  <c r="T47" i="16"/>
  <c r="S47" i="16"/>
  <c r="R47" i="16"/>
  <c r="AD46" i="16"/>
  <c r="AD50" i="16" s="1"/>
  <c r="AC46" i="16"/>
  <c r="AB46" i="16"/>
  <c r="AA46" i="16"/>
  <c r="AA50" i="16" s="1"/>
  <c r="Z46" i="16"/>
  <c r="Z50" i="16" s="1"/>
  <c r="Y46" i="16"/>
  <c r="Y50" i="16" s="1"/>
  <c r="X46" i="16"/>
  <c r="X50" i="16" s="1"/>
  <c r="W46" i="16"/>
  <c r="W50" i="16" s="1"/>
  <c r="V46" i="16"/>
  <c r="V50" i="16" s="1"/>
  <c r="U46" i="16"/>
  <c r="T46" i="16"/>
  <c r="S46" i="16"/>
  <c r="S50" i="16" s="1"/>
  <c r="R46" i="16"/>
  <c r="R50" i="16" s="1"/>
  <c r="AD43" i="16"/>
  <c r="AC43" i="16"/>
  <c r="AB43" i="16"/>
  <c r="AA43" i="16"/>
  <c r="Z43" i="16"/>
  <c r="Y43" i="16"/>
  <c r="X43" i="16"/>
  <c r="W43" i="16"/>
  <c r="V43" i="16"/>
  <c r="U43" i="16"/>
  <c r="T43" i="16"/>
  <c r="S43" i="16"/>
  <c r="R43" i="16"/>
  <c r="AA41" i="16"/>
  <c r="Q41" i="16"/>
  <c r="P41" i="16"/>
  <c r="O41" i="16"/>
  <c r="N41" i="16"/>
  <c r="N82" i="16" s="1"/>
  <c r="M41" i="16"/>
  <c r="L41" i="16"/>
  <c r="K41" i="16"/>
  <c r="J41" i="16"/>
  <c r="J82" i="16" s="1"/>
  <c r="I41" i="16"/>
  <c r="H41" i="16"/>
  <c r="G41" i="16"/>
  <c r="F41" i="16"/>
  <c r="F82" i="16" s="1"/>
  <c r="AD40" i="16"/>
  <c r="AC40" i="16"/>
  <c r="AB40" i="16"/>
  <c r="AA40" i="16"/>
  <c r="Z40" i="16"/>
  <c r="Y40" i="16"/>
  <c r="X40" i="16"/>
  <c r="W40" i="16"/>
  <c r="V40" i="16"/>
  <c r="U40" i="16"/>
  <c r="T40" i="16"/>
  <c r="S40" i="16"/>
  <c r="R40" i="16"/>
  <c r="AD39" i="16"/>
  <c r="AC39" i="16"/>
  <c r="AB39" i="16"/>
  <c r="AA39" i="16"/>
  <c r="Z39" i="16"/>
  <c r="Y39" i="16"/>
  <c r="X39" i="16"/>
  <c r="W39" i="16"/>
  <c r="V39" i="16"/>
  <c r="U39" i="16"/>
  <c r="T39" i="16"/>
  <c r="S39" i="16"/>
  <c r="R39" i="16"/>
  <c r="AD38" i="16"/>
  <c r="AC38" i="16"/>
  <c r="AB38" i="16"/>
  <c r="AA38" i="16"/>
  <c r="Z38" i="16"/>
  <c r="Y38" i="16"/>
  <c r="X38" i="16"/>
  <c r="W38" i="16"/>
  <c r="V38" i="16"/>
  <c r="U38" i="16"/>
  <c r="T38" i="16"/>
  <c r="S38" i="16"/>
  <c r="R38" i="16"/>
  <c r="AD37" i="16"/>
  <c r="AC37" i="16"/>
  <c r="AB37" i="16"/>
  <c r="AA37" i="16"/>
  <c r="Z37" i="16"/>
  <c r="Z41" i="16" s="1"/>
  <c r="Y37" i="16"/>
  <c r="X37" i="16"/>
  <c r="W37" i="16"/>
  <c r="V37" i="16"/>
  <c r="U37" i="16"/>
  <c r="T37" i="16"/>
  <c r="S37" i="16"/>
  <c r="R37" i="16"/>
  <c r="R41" i="16" s="1"/>
  <c r="AD36" i="16"/>
  <c r="AD41" i="16" s="1"/>
  <c r="AC36" i="16"/>
  <c r="AB36" i="16"/>
  <c r="AA36" i="16"/>
  <c r="Z36" i="16"/>
  <c r="Y36" i="16"/>
  <c r="X36" i="16"/>
  <c r="W36" i="16"/>
  <c r="V36" i="16"/>
  <c r="V41" i="16" s="1"/>
  <c r="U36" i="16"/>
  <c r="T36" i="16"/>
  <c r="S36" i="16"/>
  <c r="S41" i="16" s="1"/>
  <c r="R36" i="16"/>
  <c r="AD35" i="16"/>
  <c r="AC35" i="16"/>
  <c r="AB35" i="16"/>
  <c r="AB41" i="16" s="1"/>
  <c r="AA35" i="16"/>
  <c r="Z35" i="16"/>
  <c r="Y35" i="16"/>
  <c r="X35" i="16"/>
  <c r="X41" i="16" s="1"/>
  <c r="W35" i="16"/>
  <c r="W41" i="16" s="1"/>
  <c r="V35" i="16"/>
  <c r="U35" i="16"/>
  <c r="T35" i="16"/>
  <c r="T41" i="16" s="1"/>
  <c r="S35" i="16"/>
  <c r="R35" i="16"/>
  <c r="AD31" i="16"/>
  <c r="AC31" i="16"/>
  <c r="AB31" i="16"/>
  <c r="AA31" i="16"/>
  <c r="Z31" i="16"/>
  <c r="Y31" i="16"/>
  <c r="X31" i="16"/>
  <c r="W31" i="16"/>
  <c r="V31" i="16"/>
  <c r="U31" i="16"/>
  <c r="T31" i="16"/>
  <c r="S31" i="16"/>
  <c r="R31" i="16"/>
  <c r="O22" i="16"/>
  <c r="G22" i="16"/>
  <c r="AA21" i="16"/>
  <c r="X21" i="16"/>
  <c r="S21" i="16"/>
  <c r="Q21" i="16"/>
  <c r="P21" i="16"/>
  <c r="O21" i="16"/>
  <c r="N21" i="16"/>
  <c r="M21" i="16"/>
  <c r="L21" i="16"/>
  <c r="K21" i="16"/>
  <c r="K22" i="16" s="1"/>
  <c r="J21" i="16"/>
  <c r="I21" i="16"/>
  <c r="H21" i="16"/>
  <c r="G21" i="16"/>
  <c r="F21" i="16"/>
  <c r="AD20" i="16"/>
  <c r="AC20" i="16"/>
  <c r="AB20" i="16"/>
  <c r="AA20" i="16"/>
  <c r="Z20" i="16"/>
  <c r="Y20" i="16"/>
  <c r="X20" i="16"/>
  <c r="W20" i="16"/>
  <c r="V20" i="16"/>
  <c r="U20" i="16"/>
  <c r="T20" i="16"/>
  <c r="S20" i="16"/>
  <c r="R20" i="16"/>
  <c r="AD19" i="16"/>
  <c r="AC19" i="16"/>
  <c r="AB19" i="16"/>
  <c r="AA19" i="16"/>
  <c r="Z19" i="16"/>
  <c r="Y19" i="16"/>
  <c r="X19" i="16"/>
  <c r="W19" i="16"/>
  <c r="V19" i="16"/>
  <c r="U19" i="16"/>
  <c r="T19" i="16"/>
  <c r="S19" i="16"/>
  <c r="R19" i="16"/>
  <c r="AD18" i="16"/>
  <c r="AC18" i="16"/>
  <c r="AB18" i="16"/>
  <c r="AA18" i="16"/>
  <c r="Z18" i="16"/>
  <c r="Y18" i="16"/>
  <c r="X18" i="16"/>
  <c r="W18" i="16"/>
  <c r="V18" i="16"/>
  <c r="U18" i="16"/>
  <c r="T18" i="16"/>
  <c r="S18" i="16"/>
  <c r="R18" i="16"/>
  <c r="AD17" i="16"/>
  <c r="AD21" i="16" s="1"/>
  <c r="AC17" i="16"/>
  <c r="AB17" i="16"/>
  <c r="AA17" i="16"/>
  <c r="Z17" i="16"/>
  <c r="Z21" i="16" s="1"/>
  <c r="Y17" i="16"/>
  <c r="X17" i="16"/>
  <c r="W17" i="16"/>
  <c r="W21" i="16" s="1"/>
  <c r="V17" i="16"/>
  <c r="V21" i="16" s="1"/>
  <c r="U17" i="16"/>
  <c r="T17" i="16"/>
  <c r="S17" i="16"/>
  <c r="R17" i="16"/>
  <c r="R21" i="16" s="1"/>
  <c r="AD16" i="16"/>
  <c r="AC16" i="16"/>
  <c r="AC21" i="16" s="1"/>
  <c r="AB16" i="16"/>
  <c r="AB21" i="16" s="1"/>
  <c r="AA16" i="16"/>
  <c r="Z16" i="16"/>
  <c r="Y16" i="16"/>
  <c r="Y21" i="16" s="1"/>
  <c r="X16" i="16"/>
  <c r="W16" i="16"/>
  <c r="V16" i="16"/>
  <c r="U16" i="16"/>
  <c r="U21" i="16" s="1"/>
  <c r="T16" i="16"/>
  <c r="T21" i="16" s="1"/>
  <c r="S16" i="16"/>
  <c r="R16" i="16"/>
  <c r="Q13" i="16"/>
  <c r="Q22" i="16" s="1"/>
  <c r="P13" i="16"/>
  <c r="O13" i="16"/>
  <c r="N13" i="16"/>
  <c r="N22" i="16" s="1"/>
  <c r="M13" i="16"/>
  <c r="M22" i="16" s="1"/>
  <c r="L13" i="16"/>
  <c r="L22" i="16" s="1"/>
  <c r="K13" i="16"/>
  <c r="J13" i="16"/>
  <c r="J22" i="16" s="1"/>
  <c r="I13" i="16"/>
  <c r="I22" i="16" s="1"/>
  <c r="H13" i="16"/>
  <c r="H22" i="16" s="1"/>
  <c r="G13" i="16"/>
  <c r="F13" i="16"/>
  <c r="F22" i="16" s="1"/>
  <c r="AD12" i="16"/>
  <c r="AC12" i="16"/>
  <c r="AB12" i="16"/>
  <c r="AA12" i="16"/>
  <c r="Z12" i="16"/>
  <c r="Y12" i="16"/>
  <c r="X12" i="16"/>
  <c r="W12" i="16"/>
  <c r="V12" i="16"/>
  <c r="U12" i="16"/>
  <c r="T12" i="16"/>
  <c r="S12" i="16"/>
  <c r="R12" i="16"/>
  <c r="AD11" i="16"/>
  <c r="AC11" i="16"/>
  <c r="AB11" i="16"/>
  <c r="AA11" i="16"/>
  <c r="Z11" i="16"/>
  <c r="Y11" i="16"/>
  <c r="X11" i="16"/>
  <c r="W11" i="16"/>
  <c r="V11" i="16"/>
  <c r="U11" i="16"/>
  <c r="T11" i="16"/>
  <c r="S11" i="16"/>
  <c r="R11" i="16"/>
  <c r="AD10" i="16"/>
  <c r="AC10" i="16"/>
  <c r="AB10" i="16"/>
  <c r="AA10" i="16"/>
  <c r="Z10" i="16"/>
  <c r="Y10" i="16"/>
  <c r="X10" i="16"/>
  <c r="W10" i="16"/>
  <c r="V10" i="16"/>
  <c r="U10" i="16"/>
  <c r="T10" i="16"/>
  <c r="S10" i="16"/>
  <c r="R10" i="16"/>
  <c r="AD9" i="16"/>
  <c r="AC9" i="16"/>
  <c r="AC13" i="16" s="1"/>
  <c r="AC22" i="16" s="1"/>
  <c r="AB9" i="16"/>
  <c r="AA9" i="16"/>
  <c r="Z9" i="16"/>
  <c r="Y9" i="16"/>
  <c r="Y13" i="16" s="1"/>
  <c r="Y22" i="16" s="1"/>
  <c r="X9" i="16"/>
  <c r="W9" i="16"/>
  <c r="V9" i="16"/>
  <c r="U9" i="16"/>
  <c r="U13" i="16" s="1"/>
  <c r="U22" i="16" s="1"/>
  <c r="T9" i="16"/>
  <c r="S9" i="16"/>
  <c r="R9" i="16"/>
  <c r="AD8" i="16"/>
  <c r="AD13" i="16" s="1"/>
  <c r="AD22" i="16" s="1"/>
  <c r="AC8" i="16"/>
  <c r="AB8" i="16"/>
  <c r="AA8" i="16"/>
  <c r="Z8" i="16"/>
  <c r="Z13" i="16" s="1"/>
  <c r="Z22" i="16" s="1"/>
  <c r="Y8" i="16"/>
  <c r="X8" i="16"/>
  <c r="W8" i="16"/>
  <c r="V8" i="16"/>
  <c r="V13" i="16" s="1"/>
  <c r="V22" i="16" s="1"/>
  <c r="U8" i="16"/>
  <c r="T8" i="16"/>
  <c r="S8" i="16"/>
  <c r="R8" i="16"/>
  <c r="R13" i="16" s="1"/>
  <c r="R22" i="16" s="1"/>
  <c r="AD7" i="16"/>
  <c r="AC7" i="16"/>
  <c r="AB7" i="16"/>
  <c r="AA7" i="16"/>
  <c r="AA13" i="16" s="1"/>
  <c r="AA22" i="16" s="1"/>
  <c r="Z7" i="16"/>
  <c r="Y7" i="16"/>
  <c r="X7" i="16"/>
  <c r="W7" i="16"/>
  <c r="W13" i="16" s="1"/>
  <c r="V7" i="16"/>
  <c r="U7" i="16"/>
  <c r="T7" i="16"/>
  <c r="S7" i="16"/>
  <c r="S13" i="16" s="1"/>
  <c r="S22" i="16" s="1"/>
  <c r="R7" i="16"/>
  <c r="S3" i="16"/>
  <c r="V156" i="17" l="1"/>
  <c r="J166" i="17"/>
  <c r="M166" i="17"/>
  <c r="M167" i="17" s="1"/>
  <c r="AE22" i="17"/>
  <c r="S156" i="17"/>
  <c r="I133" i="17"/>
  <c r="O82" i="17"/>
  <c r="O166" i="17" s="1"/>
  <c r="O167" i="17" s="1"/>
  <c r="AB119" i="17"/>
  <c r="AC91" i="17"/>
  <c r="AA91" i="17"/>
  <c r="K133" i="17"/>
  <c r="K166" i="17" s="1"/>
  <c r="K167" i="17" s="1"/>
  <c r="V81" i="17"/>
  <c r="AC81" i="17"/>
  <c r="AC41" i="17"/>
  <c r="AC82" i="17" s="1"/>
  <c r="V50" i="17"/>
  <c r="T110" i="17"/>
  <c r="G133" i="17"/>
  <c r="Z119" i="17"/>
  <c r="X119" i="17"/>
  <c r="Z91" i="17"/>
  <c r="V91" i="17"/>
  <c r="AD91" i="17"/>
  <c r="F133" i="17"/>
  <c r="W156" i="17"/>
  <c r="AA156" i="17"/>
  <c r="F82" i="17"/>
  <c r="F166" i="17" s="1"/>
  <c r="F167" i="17" s="1"/>
  <c r="AA110" i="17"/>
  <c r="U71" i="17"/>
  <c r="AB132" i="17"/>
  <c r="I156" i="17"/>
  <c r="I166" i="17" s="1"/>
  <c r="I167" i="17" s="1"/>
  <c r="AD41" i="17"/>
  <c r="AD81" i="17"/>
  <c r="X81" i="17"/>
  <c r="S81" i="17"/>
  <c r="S82" i="17" s="1"/>
  <c r="S166" i="17" s="1"/>
  <c r="S167" i="17" s="1"/>
  <c r="AD50" i="17"/>
  <c r="Z71" i="17"/>
  <c r="Y71" i="17"/>
  <c r="Z96" i="17"/>
  <c r="AC132" i="17"/>
  <c r="W132" i="17"/>
  <c r="AB41" i="17"/>
  <c r="H82" i="17"/>
  <c r="H166" i="17" s="1"/>
  <c r="H167" i="17" s="1"/>
  <c r="V56" i="17"/>
  <c r="W56" i="17"/>
  <c r="Y132" i="17"/>
  <c r="V41" i="17"/>
  <c r="Y110" i="17"/>
  <c r="Y133" i="17" s="1"/>
  <c r="AD119" i="17"/>
  <c r="U119" i="17"/>
  <c r="W119" i="17"/>
  <c r="U91" i="17"/>
  <c r="AB91" i="17"/>
  <c r="S91" i="17"/>
  <c r="S133" i="17" s="1"/>
  <c r="AB144" i="17"/>
  <c r="AB156" i="17" s="1"/>
  <c r="Y144" i="17"/>
  <c r="Y156" i="17" s="1"/>
  <c r="U155" i="17"/>
  <c r="G166" i="17"/>
  <c r="G167" i="17" s="1"/>
  <c r="J167" i="17"/>
  <c r="V110" i="17"/>
  <c r="AC50" i="17"/>
  <c r="AD110" i="17"/>
  <c r="Y56" i="17"/>
  <c r="S132" i="17"/>
  <c r="L166" i="17"/>
  <c r="L167" i="17" s="1"/>
  <c r="V119" i="17"/>
  <c r="W50" i="17"/>
  <c r="T50" i="17"/>
  <c r="T82" i="17" s="1"/>
  <c r="T166" i="17" s="1"/>
  <c r="T167" i="17" s="1"/>
  <c r="AB81" i="17"/>
  <c r="U110" i="17"/>
  <c r="Z132" i="17"/>
  <c r="AD56" i="17"/>
  <c r="S56" i="17"/>
  <c r="AA41" i="17"/>
  <c r="U50" i="17"/>
  <c r="Z81" i="17"/>
  <c r="U81" i="17"/>
  <c r="W81" i="17"/>
  <c r="AB110" i="17"/>
  <c r="AA50" i="17"/>
  <c r="AD96" i="17"/>
  <c r="N133" i="17"/>
  <c r="N166" i="17" s="1"/>
  <c r="N167" i="17" s="1"/>
  <c r="AA132" i="17"/>
  <c r="AD132" i="17"/>
  <c r="Q167" i="17"/>
  <c r="X110" i="17"/>
  <c r="AB50" i="17"/>
  <c r="T56" i="17"/>
  <c r="AB56" i="17"/>
  <c r="U56" i="17"/>
  <c r="U82" i="17" s="1"/>
  <c r="AA56" i="17"/>
  <c r="X41" i="17"/>
  <c r="W41" i="17"/>
  <c r="W82" i="17" s="1"/>
  <c r="R167" i="17"/>
  <c r="Y41" i="17"/>
  <c r="W110" i="17"/>
  <c r="Z50" i="17"/>
  <c r="Z82" i="17" s="1"/>
  <c r="T119" i="17"/>
  <c r="Y119" i="17"/>
  <c r="AA119" i="17"/>
  <c r="X91" i="17"/>
  <c r="T91" i="17"/>
  <c r="T133" i="17" s="1"/>
  <c r="W91" i="17"/>
  <c r="AC110" i="17"/>
  <c r="X144" i="17"/>
  <c r="X156" i="17" s="1"/>
  <c r="AD144" i="17"/>
  <c r="AD156" i="17" s="1"/>
  <c r="AC156" i="17"/>
  <c r="Z144" i="17"/>
  <c r="Z156" i="17" s="1"/>
  <c r="U144" i="17"/>
  <c r="U156" i="17" s="1"/>
  <c r="AB82" i="6"/>
  <c r="V82" i="6"/>
  <c r="AD156" i="6"/>
  <c r="X22" i="6"/>
  <c r="AB22" i="6"/>
  <c r="Z22" i="6"/>
  <c r="AD22" i="6"/>
  <c r="X156" i="6"/>
  <c r="S82" i="6"/>
  <c r="J82" i="6"/>
  <c r="AA50" i="6"/>
  <c r="T81" i="6"/>
  <c r="AB81" i="6"/>
  <c r="U21" i="6"/>
  <c r="U22" i="6" s="1"/>
  <c r="Y21" i="6"/>
  <c r="Y22" i="6" s="1"/>
  <c r="AC21" i="6"/>
  <c r="AC22" i="6" s="1"/>
  <c r="K82" i="6"/>
  <c r="K166" i="6" s="1"/>
  <c r="K167" i="6" s="1"/>
  <c r="U156" i="6"/>
  <c r="S155" i="6"/>
  <c r="AA155" i="6"/>
  <c r="T22" i="6"/>
  <c r="V133" i="6"/>
  <c r="F82" i="6"/>
  <c r="N82" i="6"/>
  <c r="N166" i="6" s="1"/>
  <c r="N167" i="6" s="1"/>
  <c r="T50" i="6"/>
  <c r="T82" i="6" s="1"/>
  <c r="S13" i="6"/>
  <c r="S22" i="6" s="1"/>
  <c r="W13" i="6"/>
  <c r="W22" i="6" s="1"/>
  <c r="AA13" i="6"/>
  <c r="AA22" i="6" s="1"/>
  <c r="I167" i="6"/>
  <c r="M167" i="6"/>
  <c r="Q167" i="6"/>
  <c r="R21" i="6"/>
  <c r="R22" i="6" s="1"/>
  <c r="V21" i="6"/>
  <c r="V22" i="6" s="1"/>
  <c r="Z21" i="6"/>
  <c r="AD21" i="6"/>
  <c r="Z41" i="6"/>
  <c r="H82" i="6"/>
  <c r="P82" i="6"/>
  <c r="U71" i="6"/>
  <c r="AC71" i="6"/>
  <c r="T71" i="6"/>
  <c r="AB71" i="6"/>
  <c r="R133" i="6"/>
  <c r="U41" i="6"/>
  <c r="Y41" i="6"/>
  <c r="AC41" i="6"/>
  <c r="Z47" i="6"/>
  <c r="Z50" i="6" s="1"/>
  <c r="S71" i="6"/>
  <c r="W71" i="6"/>
  <c r="W82" i="6" s="1"/>
  <c r="AA71" i="6"/>
  <c r="AA82" i="6" s="1"/>
  <c r="S91" i="6"/>
  <c r="S133" i="6" s="1"/>
  <c r="W91" i="6"/>
  <c r="AA91" i="6"/>
  <c r="F133" i="6"/>
  <c r="J133" i="6"/>
  <c r="N133" i="6"/>
  <c r="R110" i="6"/>
  <c r="V110" i="6"/>
  <c r="Z110" i="6"/>
  <c r="Z133" i="6" s="1"/>
  <c r="AD110" i="6"/>
  <c r="AD133" i="6" s="1"/>
  <c r="U132" i="6"/>
  <c r="U133" i="6" s="1"/>
  <c r="Y132" i="6"/>
  <c r="Y133" i="6" s="1"/>
  <c r="AC132" i="6"/>
  <c r="AC133" i="6" s="1"/>
  <c r="S144" i="6"/>
  <c r="W144" i="6"/>
  <c r="W156" i="6" s="1"/>
  <c r="AA144" i="6"/>
  <c r="AA156" i="6" s="1"/>
  <c r="H156" i="6"/>
  <c r="L156" i="6"/>
  <c r="L166" i="6" s="1"/>
  <c r="L167" i="6" s="1"/>
  <c r="P156" i="6"/>
  <c r="R155" i="6"/>
  <c r="R156" i="6" s="1"/>
  <c r="V155" i="6"/>
  <c r="V156" i="6" s="1"/>
  <c r="Z155" i="6"/>
  <c r="Z156" i="6" s="1"/>
  <c r="AD155" i="6"/>
  <c r="S164" i="6"/>
  <c r="W164" i="6"/>
  <c r="AA164" i="6"/>
  <c r="U50" i="6"/>
  <c r="Y50" i="6"/>
  <c r="AC50" i="6"/>
  <c r="R47" i="6"/>
  <c r="R50" i="6" s="1"/>
  <c r="R82" i="6" s="1"/>
  <c r="R166" i="6" s="1"/>
  <c r="R61" i="6"/>
  <c r="V61" i="6"/>
  <c r="Z61" i="6"/>
  <c r="AD61" i="6"/>
  <c r="AD82" i="6" s="1"/>
  <c r="AD166" i="6" s="1"/>
  <c r="T91" i="6"/>
  <c r="X91" i="6"/>
  <c r="X133" i="6" s="1"/>
  <c r="AB91" i="6"/>
  <c r="AB133" i="6" s="1"/>
  <c r="G133" i="6"/>
  <c r="G166" i="6" s="1"/>
  <c r="G167" i="6" s="1"/>
  <c r="K133" i="6"/>
  <c r="O133" i="6"/>
  <c r="O166" i="6" s="1"/>
  <c r="O167" i="6" s="1"/>
  <c r="T96" i="6"/>
  <c r="X96" i="6"/>
  <c r="AB96" i="6"/>
  <c r="S119" i="6"/>
  <c r="W119" i="6"/>
  <c r="AA119" i="6"/>
  <c r="T164" i="6"/>
  <c r="X164" i="6"/>
  <c r="AB164" i="6"/>
  <c r="X47" i="6"/>
  <c r="X50" i="6" s="1"/>
  <c r="X82" i="6" s="1"/>
  <c r="X166" i="6" s="1"/>
  <c r="S82" i="16"/>
  <c r="J166" i="16"/>
  <c r="J167" i="16" s="1"/>
  <c r="I166" i="16"/>
  <c r="I167" i="16" s="1"/>
  <c r="AD82" i="16"/>
  <c r="X13" i="16"/>
  <c r="X22" i="16" s="1"/>
  <c r="AB82" i="16"/>
  <c r="I133" i="16"/>
  <c r="M133" i="16"/>
  <c r="U41" i="16"/>
  <c r="Y41" i="16"/>
  <c r="AC41" i="16"/>
  <c r="G82" i="16"/>
  <c r="K82" i="16"/>
  <c r="K166" i="16" s="1"/>
  <c r="K167" i="16" s="1"/>
  <c r="O82" i="16"/>
  <c r="O166" i="16" s="1"/>
  <c r="O167" i="16" s="1"/>
  <c r="V133" i="16"/>
  <c r="AD156" i="16"/>
  <c r="W22" i="16"/>
  <c r="V82" i="16"/>
  <c r="AA133" i="16"/>
  <c r="T13" i="16"/>
  <c r="T22" i="16" s="1"/>
  <c r="AB13" i="16"/>
  <c r="AB22" i="16" s="1"/>
  <c r="T82" i="16"/>
  <c r="X82" i="16"/>
  <c r="X166" i="16" s="1"/>
  <c r="M82" i="16"/>
  <c r="Q133" i="16"/>
  <c r="Q166" i="16" s="1"/>
  <c r="Q167" i="16" s="1"/>
  <c r="U81" i="16"/>
  <c r="Y81" i="16"/>
  <c r="AC81" i="16"/>
  <c r="W81" i="16"/>
  <c r="AA81" i="16"/>
  <c r="AB133" i="16"/>
  <c r="G133" i="16"/>
  <c r="O133" i="16"/>
  <c r="X133" i="16"/>
  <c r="T156" i="16"/>
  <c r="V119" i="16"/>
  <c r="AD119" i="16"/>
  <c r="W156" i="16"/>
  <c r="H82" i="16"/>
  <c r="L82" i="16"/>
  <c r="P82" i="16"/>
  <c r="P166" i="16" s="1"/>
  <c r="R56" i="16"/>
  <c r="R82" i="16" s="1"/>
  <c r="V56" i="16"/>
  <c r="Z56" i="16"/>
  <c r="Z82" i="16" s="1"/>
  <c r="Z166" i="16" s="1"/>
  <c r="Z167" i="16" s="1"/>
  <c r="AD56" i="16"/>
  <c r="T110" i="16"/>
  <c r="T133" i="16" s="1"/>
  <c r="X110" i="16"/>
  <c r="AB110" i="16"/>
  <c r="S132" i="16"/>
  <c r="S133" i="16" s="1"/>
  <c r="W132" i="16"/>
  <c r="W133" i="16" s="1"/>
  <c r="AA132" i="16"/>
  <c r="U144" i="16"/>
  <c r="U156" i="16" s="1"/>
  <c r="Y144" i="16"/>
  <c r="Y156" i="16" s="1"/>
  <c r="AC144" i="16"/>
  <c r="AC156" i="16" s="1"/>
  <c r="F156" i="16"/>
  <c r="F166" i="16" s="1"/>
  <c r="F167" i="16" s="1"/>
  <c r="J156" i="16"/>
  <c r="N156" i="16"/>
  <c r="N166" i="16" s="1"/>
  <c r="N167" i="16" s="1"/>
  <c r="S155" i="16"/>
  <c r="S156" i="16" s="1"/>
  <c r="W155" i="16"/>
  <c r="AA155" i="16"/>
  <c r="AA156" i="16" s="1"/>
  <c r="R119" i="16"/>
  <c r="Z119" i="16"/>
  <c r="P22" i="16"/>
  <c r="S56" i="16"/>
  <c r="W56" i="16"/>
  <c r="W82" i="16" s="1"/>
  <c r="W166" i="16" s="1"/>
  <c r="AA56" i="16"/>
  <c r="AA82" i="16" s="1"/>
  <c r="T81" i="16"/>
  <c r="X81" i="16"/>
  <c r="AB81" i="16"/>
  <c r="U133" i="16"/>
  <c r="Y133" i="16"/>
  <c r="AC133" i="16"/>
  <c r="H133" i="16"/>
  <c r="L133" i="16"/>
  <c r="P133" i="16"/>
  <c r="R96" i="16"/>
  <c r="V96" i="16"/>
  <c r="Z96" i="16"/>
  <c r="Z133" i="16" s="1"/>
  <c r="AD96" i="16"/>
  <c r="AD133" i="16" s="1"/>
  <c r="T155" i="16"/>
  <c r="X155" i="16"/>
  <c r="X156" i="16" s="1"/>
  <c r="AB155" i="16"/>
  <c r="AB156" i="16" s="1"/>
  <c r="U164" i="16"/>
  <c r="Y164" i="16"/>
  <c r="AC164" i="16"/>
  <c r="AD133" i="17" l="1"/>
  <c r="AC166" i="17"/>
  <c r="AC167" i="17" s="1"/>
  <c r="W166" i="17"/>
  <c r="W167" i="17" s="1"/>
  <c r="AA133" i="17"/>
  <c r="X82" i="17"/>
  <c r="AA82" i="17"/>
  <c r="U133" i="17"/>
  <c r="U166" i="17" s="1"/>
  <c r="U167" i="17" s="1"/>
  <c r="Z133" i="17"/>
  <c r="Z166" i="17" s="1"/>
  <c r="Z167" i="17" s="1"/>
  <c r="AC133" i="17"/>
  <c r="W133" i="17"/>
  <c r="Y82" i="17"/>
  <c r="Y166" i="17" s="1"/>
  <c r="Y167" i="17" s="1"/>
  <c r="V82" i="17"/>
  <c r="V166" i="17" s="1"/>
  <c r="V167" i="17" s="1"/>
  <c r="AD82" i="17"/>
  <c r="AD166" i="17" s="1"/>
  <c r="X133" i="17"/>
  <c r="AB133" i="17"/>
  <c r="AB82" i="17"/>
  <c r="AB166" i="17" s="1"/>
  <c r="AB167" i="17" s="1"/>
  <c r="V133" i="17"/>
  <c r="R167" i="6"/>
  <c r="V167" i="6"/>
  <c r="T166" i="6"/>
  <c r="V166" i="6"/>
  <c r="AC82" i="6"/>
  <c r="AC166" i="6" s="1"/>
  <c r="AC167" i="6" s="1"/>
  <c r="Z82" i="6"/>
  <c r="Z166" i="6" s="1"/>
  <c r="Z167" i="6" s="1"/>
  <c r="AB166" i="6"/>
  <c r="T133" i="6"/>
  <c r="AA133" i="6"/>
  <c r="AA166" i="6" s="1"/>
  <c r="AA167" i="6" s="1"/>
  <c r="Y82" i="6"/>
  <c r="Y166" i="6" s="1"/>
  <c r="Y167" i="6" s="1"/>
  <c r="F166" i="6"/>
  <c r="F167" i="6" s="1"/>
  <c r="T167" i="6"/>
  <c r="J166" i="6"/>
  <c r="J167" i="6" s="1"/>
  <c r="AB167" i="6"/>
  <c r="H166" i="6"/>
  <c r="H167" i="6" s="1"/>
  <c r="AD167" i="6"/>
  <c r="S156" i="6"/>
  <c r="S166" i="6" s="1"/>
  <c r="S167" i="6" s="1"/>
  <c r="W133" i="6"/>
  <c r="W166" i="6" s="1"/>
  <c r="W167" i="6" s="1"/>
  <c r="U82" i="6"/>
  <c r="U166" i="6" s="1"/>
  <c r="U167" i="6" s="1"/>
  <c r="P166" i="6"/>
  <c r="P167" i="6" s="1"/>
  <c r="X167" i="6"/>
  <c r="AA166" i="16"/>
  <c r="AA167" i="16" s="1"/>
  <c r="W167" i="16"/>
  <c r="AC82" i="16"/>
  <c r="AC166" i="16" s="1"/>
  <c r="AC167" i="16" s="1"/>
  <c r="AB166" i="16"/>
  <c r="AD166" i="16"/>
  <c r="AD167" i="16" s="1"/>
  <c r="S166" i="16"/>
  <c r="S167" i="16" s="1"/>
  <c r="T166" i="16"/>
  <c r="T167" i="16" s="1"/>
  <c r="V166" i="16"/>
  <c r="V167" i="16" s="1"/>
  <c r="Y82" i="16"/>
  <c r="Y166" i="16" s="1"/>
  <c r="Y167" i="16" s="1"/>
  <c r="X167" i="16"/>
  <c r="R133" i="16"/>
  <c r="R166" i="16" s="1"/>
  <c r="L166" i="16"/>
  <c r="L167" i="16" s="1"/>
  <c r="M166" i="16"/>
  <c r="M167" i="16" s="1"/>
  <c r="AB167" i="16"/>
  <c r="U82" i="16"/>
  <c r="U166" i="16" s="1"/>
  <c r="U167" i="16" s="1"/>
  <c r="P167" i="16"/>
  <c r="H166" i="16"/>
  <c r="H167" i="16" s="1"/>
  <c r="G166" i="16"/>
  <c r="G167" i="16" s="1"/>
  <c r="E170" i="1"/>
  <c r="E172" i="1"/>
  <c r="AA166" i="17" l="1"/>
  <c r="AA167" i="17" s="1"/>
  <c r="AD167" i="17"/>
  <c r="AD169" i="17" s="1"/>
  <c r="AD168" i="17"/>
  <c r="X166" i="17"/>
  <c r="X167" i="17" s="1"/>
  <c r="AD168" i="16"/>
  <c r="R167" i="16"/>
  <c r="AD169" i="16" s="1"/>
  <c r="F116" i="1"/>
  <c r="G116" i="1" s="1"/>
  <c r="F115" i="1"/>
  <c r="G115" i="1" s="1"/>
  <c r="G123" i="1" l="1"/>
  <c r="G122" i="1"/>
  <c r="G99" i="1"/>
  <c r="G94" i="1"/>
  <c r="F127" i="1" l="1"/>
  <c r="F123" i="1"/>
  <c r="F122" i="1"/>
  <c r="F117" i="1"/>
  <c r="F113" i="1"/>
  <c r="F104" i="1"/>
  <c r="F99" i="1"/>
  <c r="F94" i="1"/>
  <c r="G117" i="1"/>
  <c r="W127" i="1" l="1"/>
  <c r="V127" i="1" s="1"/>
  <c r="W122" i="1"/>
  <c r="V122" i="1" s="1"/>
  <c r="T128" i="1"/>
  <c r="U123" i="1"/>
  <c r="U99" i="1"/>
  <c r="U94" i="1"/>
  <c r="U86" i="1"/>
  <c r="G29" i="1"/>
  <c r="G27" i="1"/>
  <c r="G28" i="1"/>
  <c r="R163" i="14" l="1"/>
  <c r="R162" i="14"/>
  <c r="R161" i="14"/>
  <c r="Q161" i="14" s="1"/>
  <c r="R160" i="14"/>
  <c r="R154" i="14"/>
  <c r="R153" i="14"/>
  <c r="R152" i="14"/>
  <c r="O152" i="14" s="1"/>
  <c r="R151" i="14"/>
  <c r="R150" i="14"/>
  <c r="H150" i="14" s="1"/>
  <c r="R149" i="14"/>
  <c r="I149" i="14" s="1"/>
  <c r="R148" i="14"/>
  <c r="H148" i="14" s="1"/>
  <c r="R147" i="14"/>
  <c r="O147" i="14" s="1"/>
  <c r="R143" i="14"/>
  <c r="F143" i="14" s="1"/>
  <c r="R142" i="14"/>
  <c r="R141" i="14"/>
  <c r="R140" i="14"/>
  <c r="L140" i="14" s="1"/>
  <c r="R139" i="14"/>
  <c r="R138" i="14"/>
  <c r="L138" i="14" s="1"/>
  <c r="R137" i="14"/>
  <c r="P137" i="14" s="1"/>
  <c r="R131" i="14"/>
  <c r="L131" i="14" s="1"/>
  <c r="R130" i="14"/>
  <c r="R129" i="14"/>
  <c r="F129" i="14" s="1"/>
  <c r="R128" i="14"/>
  <c r="Q128" i="14" s="1"/>
  <c r="R127" i="14"/>
  <c r="R126" i="14"/>
  <c r="R125" i="14"/>
  <c r="I125" i="14" s="1"/>
  <c r="R124" i="14"/>
  <c r="R123" i="14"/>
  <c r="R118" i="14"/>
  <c r="R114" i="14"/>
  <c r="K114" i="14" s="1"/>
  <c r="R109" i="14"/>
  <c r="R108" i="14"/>
  <c r="R107" i="14"/>
  <c r="R106" i="14"/>
  <c r="N106" i="14" s="1"/>
  <c r="R100" i="14"/>
  <c r="I100" i="14" s="1"/>
  <c r="R95" i="14"/>
  <c r="R90" i="14"/>
  <c r="I90" i="14" s="1"/>
  <c r="R89" i="14"/>
  <c r="J89" i="14" s="1"/>
  <c r="R87" i="14"/>
  <c r="R80" i="14"/>
  <c r="R79" i="14"/>
  <c r="R78" i="14"/>
  <c r="L78" i="14" s="1"/>
  <c r="R77" i="14"/>
  <c r="G77" i="14" s="1"/>
  <c r="R76" i="14"/>
  <c r="R75" i="14"/>
  <c r="R74" i="14"/>
  <c r="N74" i="14" s="1"/>
  <c r="R70" i="14"/>
  <c r="P70" i="14" s="1"/>
  <c r="R69" i="14"/>
  <c r="R68" i="14"/>
  <c r="J68" i="14" s="1"/>
  <c r="R67" i="14"/>
  <c r="O67" i="14" s="1"/>
  <c r="R66" i="14"/>
  <c r="O66" i="14" s="1"/>
  <c r="R63" i="14"/>
  <c r="R60" i="14"/>
  <c r="R59" i="14"/>
  <c r="R55" i="14"/>
  <c r="R54" i="14"/>
  <c r="R53" i="14"/>
  <c r="R49" i="14"/>
  <c r="R48" i="14"/>
  <c r="O48" i="14" s="1"/>
  <c r="R47" i="14"/>
  <c r="R46" i="14"/>
  <c r="P46" i="14" s="1"/>
  <c r="R43" i="14"/>
  <c r="I43" i="14" s="1"/>
  <c r="R40" i="14"/>
  <c r="R39" i="14"/>
  <c r="J39" i="14" s="1"/>
  <c r="R38" i="14"/>
  <c r="R37" i="14"/>
  <c r="M37" i="14" s="1"/>
  <c r="R36" i="14"/>
  <c r="R35" i="14"/>
  <c r="R29" i="14"/>
  <c r="R28" i="14"/>
  <c r="R27" i="14"/>
  <c r="R20" i="14"/>
  <c r="R19" i="14"/>
  <c r="R18" i="14"/>
  <c r="R17" i="14"/>
  <c r="R16" i="14"/>
  <c r="K16" i="14" s="1"/>
  <c r="R8" i="14"/>
  <c r="R9" i="14"/>
  <c r="R10" i="14"/>
  <c r="R11" i="14"/>
  <c r="R12" i="14"/>
  <c r="E163" i="14"/>
  <c r="M163" i="14" s="1"/>
  <c r="M164" i="14" s="1"/>
  <c r="AD162" i="14"/>
  <c r="AC162" i="14"/>
  <c r="AB162" i="14"/>
  <c r="AA162" i="14"/>
  <c r="Z162" i="14"/>
  <c r="Y162" i="14"/>
  <c r="X162" i="14"/>
  <c r="W162" i="14"/>
  <c r="V162" i="14"/>
  <c r="U162" i="14"/>
  <c r="T162" i="14"/>
  <c r="S162" i="14"/>
  <c r="T161" i="14"/>
  <c r="S161" i="14"/>
  <c r="AD160" i="14"/>
  <c r="AC160" i="14"/>
  <c r="AB160" i="14"/>
  <c r="AA160" i="14"/>
  <c r="Z160" i="14"/>
  <c r="Y160" i="14"/>
  <c r="X160" i="14"/>
  <c r="W160" i="14"/>
  <c r="V160" i="14"/>
  <c r="U160" i="14"/>
  <c r="T160" i="14"/>
  <c r="S160" i="14"/>
  <c r="E154" i="14"/>
  <c r="E153" i="14"/>
  <c r="E152" i="14"/>
  <c r="E151" i="14"/>
  <c r="M150" i="14"/>
  <c r="E150" i="14"/>
  <c r="E149" i="14"/>
  <c r="E142" i="14"/>
  <c r="E141" i="14"/>
  <c r="E139" i="14"/>
  <c r="Q139" i="14" s="1"/>
  <c r="E138" i="14"/>
  <c r="E137" i="14"/>
  <c r="D133" i="14"/>
  <c r="H130" i="14"/>
  <c r="F130" i="14"/>
  <c r="E130" i="14"/>
  <c r="N130" i="14" s="1"/>
  <c r="E128" i="14"/>
  <c r="E127" i="14"/>
  <c r="L126" i="14"/>
  <c r="E126" i="14"/>
  <c r="E125" i="14"/>
  <c r="E124" i="14"/>
  <c r="E123" i="14"/>
  <c r="E122" i="14"/>
  <c r="E118" i="14"/>
  <c r="Q118" i="14" s="1"/>
  <c r="E117" i="14"/>
  <c r="E115" i="14"/>
  <c r="E114" i="14"/>
  <c r="E113" i="14"/>
  <c r="E109" i="14"/>
  <c r="E108" i="14"/>
  <c r="E107" i="14"/>
  <c r="M107" i="14" s="1"/>
  <c r="E106" i="14"/>
  <c r="E105" i="14"/>
  <c r="E104" i="14"/>
  <c r="E99" i="14"/>
  <c r="E95" i="14"/>
  <c r="E94" i="14"/>
  <c r="E90" i="14"/>
  <c r="E89" i="14"/>
  <c r="E88" i="14"/>
  <c r="E87" i="14"/>
  <c r="E86" i="14"/>
  <c r="E80" i="14"/>
  <c r="E79" i="14"/>
  <c r="G79" i="14" s="1"/>
  <c r="E78" i="14"/>
  <c r="S77" i="14"/>
  <c r="E76" i="14"/>
  <c r="E75" i="14"/>
  <c r="E74" i="14"/>
  <c r="E70" i="14"/>
  <c r="E69" i="14"/>
  <c r="V68" i="14"/>
  <c r="U68" i="14"/>
  <c r="T68" i="14"/>
  <c r="S68" i="14"/>
  <c r="AA67" i="14"/>
  <c r="Z67" i="14"/>
  <c r="Y67" i="14"/>
  <c r="X67" i="14"/>
  <c r="W67" i="14"/>
  <c r="V67" i="14"/>
  <c r="U67" i="14"/>
  <c r="T67" i="14"/>
  <c r="S67" i="14"/>
  <c r="AA66" i="14"/>
  <c r="Z66" i="14"/>
  <c r="Y66" i="14"/>
  <c r="X66" i="14"/>
  <c r="W66" i="14"/>
  <c r="V66" i="14"/>
  <c r="U66" i="14"/>
  <c r="T66" i="14"/>
  <c r="S66" i="14"/>
  <c r="E63" i="14"/>
  <c r="E60" i="14"/>
  <c r="E59" i="14"/>
  <c r="E55" i="14"/>
  <c r="E54" i="14"/>
  <c r="E53" i="14"/>
  <c r="E49" i="14"/>
  <c r="E48" i="14"/>
  <c r="E47" i="14"/>
  <c r="F46" i="14"/>
  <c r="E46" i="14"/>
  <c r="E43" i="14"/>
  <c r="E40" i="14"/>
  <c r="T39" i="14"/>
  <c r="S39" i="14"/>
  <c r="E38" i="14"/>
  <c r="K38" i="14" s="1"/>
  <c r="Y37" i="14"/>
  <c r="X37" i="14"/>
  <c r="W37" i="14"/>
  <c r="V37" i="14"/>
  <c r="U37" i="14"/>
  <c r="T37" i="14"/>
  <c r="S37" i="14"/>
  <c r="E36" i="14"/>
  <c r="E35" i="14"/>
  <c r="AC31" i="14"/>
  <c r="AB31" i="14"/>
  <c r="AA31" i="14"/>
  <c r="Z31" i="14"/>
  <c r="Y31" i="14"/>
  <c r="X31" i="14"/>
  <c r="W31" i="14"/>
  <c r="V31" i="14"/>
  <c r="U31" i="14"/>
  <c r="T31" i="14"/>
  <c r="S31" i="14"/>
  <c r="E20" i="14"/>
  <c r="E19" i="14"/>
  <c r="E18" i="14"/>
  <c r="E17" i="14"/>
  <c r="Q13" i="14"/>
  <c r="P13" i="14"/>
  <c r="O13" i="14"/>
  <c r="N13" i="14"/>
  <c r="M13" i="14"/>
  <c r="L13" i="14"/>
  <c r="K13" i="14"/>
  <c r="J13" i="14"/>
  <c r="I13" i="14"/>
  <c r="H13" i="14"/>
  <c r="G13" i="14"/>
  <c r="F13" i="14"/>
  <c r="AD12" i="14"/>
  <c r="AC12" i="14"/>
  <c r="AB12" i="14"/>
  <c r="AA12" i="14"/>
  <c r="Z12" i="14"/>
  <c r="Y12" i="14"/>
  <c r="X12" i="14"/>
  <c r="W12" i="14"/>
  <c r="V12" i="14"/>
  <c r="U12" i="14"/>
  <c r="T12" i="14"/>
  <c r="S12" i="14"/>
  <c r="AD11" i="14"/>
  <c r="AC11" i="14"/>
  <c r="AB11" i="14"/>
  <c r="AA11" i="14"/>
  <c r="Z11" i="14"/>
  <c r="Y11" i="14"/>
  <c r="X11" i="14"/>
  <c r="W11" i="14"/>
  <c r="V11" i="14"/>
  <c r="U11" i="14"/>
  <c r="T11" i="14"/>
  <c r="S11" i="14"/>
  <c r="AD10" i="14"/>
  <c r="AC10" i="14"/>
  <c r="AB10" i="14"/>
  <c r="AA10" i="14"/>
  <c r="Z10" i="14"/>
  <c r="Y10" i="14"/>
  <c r="X10" i="14"/>
  <c r="W10" i="14"/>
  <c r="V10" i="14"/>
  <c r="U10" i="14"/>
  <c r="T10" i="14"/>
  <c r="S10" i="14"/>
  <c r="AD9" i="14"/>
  <c r="AC9" i="14"/>
  <c r="AB9" i="14"/>
  <c r="AA9" i="14"/>
  <c r="Z9" i="14"/>
  <c r="Y9" i="14"/>
  <c r="X9" i="14"/>
  <c r="W9" i="14"/>
  <c r="V9" i="14"/>
  <c r="U9" i="14"/>
  <c r="T9" i="14"/>
  <c r="S9" i="14"/>
  <c r="AD8" i="14"/>
  <c r="AC8" i="14"/>
  <c r="AB8" i="14"/>
  <c r="AA8" i="14"/>
  <c r="Z8" i="14"/>
  <c r="Y8" i="14"/>
  <c r="X8" i="14"/>
  <c r="W8" i="14"/>
  <c r="V8" i="14"/>
  <c r="U8" i="14"/>
  <c r="T8" i="14"/>
  <c r="S8" i="14"/>
  <c r="AD7" i="14"/>
  <c r="AD13" i="14" s="1"/>
  <c r="AC7" i="14"/>
  <c r="AC13" i="14" s="1"/>
  <c r="AB7" i="14"/>
  <c r="AB13" i="14" s="1"/>
  <c r="AA7" i="14"/>
  <c r="AA13" i="14" s="1"/>
  <c r="Z7" i="14"/>
  <c r="Z13" i="14" s="1"/>
  <c r="Y7" i="14"/>
  <c r="Y13" i="14" s="1"/>
  <c r="X7" i="14"/>
  <c r="X13" i="14" s="1"/>
  <c r="W7" i="14"/>
  <c r="W13" i="14" s="1"/>
  <c r="V7" i="14"/>
  <c r="V13" i="14" s="1"/>
  <c r="U7" i="14"/>
  <c r="U13" i="14" s="1"/>
  <c r="T7" i="14"/>
  <c r="T13" i="14" s="1"/>
  <c r="S7" i="14"/>
  <c r="S13" i="14" s="1"/>
  <c r="S3" i="14"/>
  <c r="U127" i="1"/>
  <c r="R164" i="13"/>
  <c r="G164" i="13"/>
  <c r="O163" i="13"/>
  <c r="O164" i="13" s="1"/>
  <c r="K163" i="13"/>
  <c r="G163" i="13"/>
  <c r="E163" i="13"/>
  <c r="N163" i="13" s="1"/>
  <c r="AD162" i="13"/>
  <c r="AC162" i="13"/>
  <c r="AB162" i="13"/>
  <c r="AA162" i="13"/>
  <c r="Z162" i="13"/>
  <c r="Y162" i="13"/>
  <c r="X162" i="13"/>
  <c r="W162" i="13"/>
  <c r="V162" i="13"/>
  <c r="U162" i="13"/>
  <c r="T162" i="13"/>
  <c r="S162" i="13"/>
  <c r="X161" i="13"/>
  <c r="T161" i="13"/>
  <c r="S161" i="13"/>
  <c r="Q161" i="13"/>
  <c r="N161" i="13"/>
  <c r="N164" i="13" s="1"/>
  <c r="K161" i="13"/>
  <c r="K164" i="13" s="1"/>
  <c r="H161" i="13"/>
  <c r="AC161" i="13" s="1"/>
  <c r="AD160" i="13"/>
  <c r="AC160" i="13"/>
  <c r="AB160" i="13"/>
  <c r="AA160" i="13"/>
  <c r="Z160" i="13"/>
  <c r="Y160" i="13"/>
  <c r="X160" i="13"/>
  <c r="W160" i="13"/>
  <c r="V160" i="13"/>
  <c r="U160" i="13"/>
  <c r="T160" i="13"/>
  <c r="S160" i="13"/>
  <c r="R155" i="13"/>
  <c r="E154" i="13"/>
  <c r="T153" i="13"/>
  <c r="Q153" i="13"/>
  <c r="N153" i="13"/>
  <c r="M153" i="13"/>
  <c r="K153" i="13"/>
  <c r="I153" i="13"/>
  <c r="G153" i="13"/>
  <c r="F153" i="13"/>
  <c r="E153" i="13"/>
  <c r="S152" i="13"/>
  <c r="P152" i="13"/>
  <c r="O152" i="13"/>
  <c r="N152" i="13"/>
  <c r="L152" i="13"/>
  <c r="K152" i="13"/>
  <c r="J152" i="13"/>
  <c r="H152" i="13"/>
  <c r="G152" i="13"/>
  <c r="F152" i="13"/>
  <c r="E152" i="13"/>
  <c r="Q152" i="13" s="1"/>
  <c r="Q151" i="13"/>
  <c r="O151" i="13"/>
  <c r="L151" i="13"/>
  <c r="I151" i="13"/>
  <c r="G151" i="13"/>
  <c r="E151" i="13"/>
  <c r="M151" i="13" s="1"/>
  <c r="N150" i="13"/>
  <c r="H150" i="13"/>
  <c r="E150" i="13"/>
  <c r="J150" i="13" s="1"/>
  <c r="S149" i="13"/>
  <c r="Q149" i="13"/>
  <c r="N149" i="13"/>
  <c r="M149" i="13"/>
  <c r="K149" i="13"/>
  <c r="I149" i="13"/>
  <c r="G149" i="13"/>
  <c r="F149" i="13"/>
  <c r="E149" i="13"/>
  <c r="AB148" i="13"/>
  <c r="X148" i="13"/>
  <c r="W148" i="13"/>
  <c r="U148" i="13"/>
  <c r="S148" i="13"/>
  <c r="Q148" i="13"/>
  <c r="P148" i="13"/>
  <c r="H148" i="13"/>
  <c r="G148" i="13"/>
  <c r="F148" i="13"/>
  <c r="AD148" i="13" s="1"/>
  <c r="Y147" i="13"/>
  <c r="U147" i="13"/>
  <c r="T147" i="13"/>
  <c r="O147" i="13"/>
  <c r="L147" i="13"/>
  <c r="I147" i="13"/>
  <c r="Z147" i="13" s="1"/>
  <c r="F147" i="13"/>
  <c r="R144" i="13"/>
  <c r="Z143" i="13"/>
  <c r="T143" i="13"/>
  <c r="F143" i="13"/>
  <c r="AA143" i="13" s="1"/>
  <c r="P142" i="13"/>
  <c r="O142" i="13"/>
  <c r="N142" i="13"/>
  <c r="L142" i="13"/>
  <c r="K142" i="13"/>
  <c r="J142" i="13"/>
  <c r="H142" i="13"/>
  <c r="G142" i="13"/>
  <c r="F142" i="13"/>
  <c r="E142" i="13"/>
  <c r="Q142" i="13" s="1"/>
  <c r="E141" i="13"/>
  <c r="Z140" i="13"/>
  <c r="U140" i="13"/>
  <c r="O140" i="13"/>
  <c r="L140" i="13"/>
  <c r="I140" i="13"/>
  <c r="F140" i="13"/>
  <c r="AC140" i="13" s="1"/>
  <c r="P139" i="13"/>
  <c r="J139" i="13"/>
  <c r="E139" i="13"/>
  <c r="T138" i="13"/>
  <c r="Q138" i="13"/>
  <c r="N138" i="13"/>
  <c r="M138" i="13"/>
  <c r="K138" i="13"/>
  <c r="I138" i="13"/>
  <c r="G138" i="13"/>
  <c r="F138" i="13"/>
  <c r="E138" i="13"/>
  <c r="S137" i="13"/>
  <c r="P137" i="13"/>
  <c r="O137" i="13"/>
  <c r="N137" i="13"/>
  <c r="L137" i="13"/>
  <c r="K137" i="13"/>
  <c r="J137" i="13"/>
  <c r="H137" i="13"/>
  <c r="G137" i="13"/>
  <c r="F137" i="13"/>
  <c r="E137" i="13"/>
  <c r="Q137" i="13" s="1"/>
  <c r="D133" i="13"/>
  <c r="R123" i="13" s="1"/>
  <c r="N123" i="13" s="1"/>
  <c r="AA131" i="13"/>
  <c r="L131" i="13"/>
  <c r="F131" i="13"/>
  <c r="U131" i="13" s="1"/>
  <c r="Q130" i="13"/>
  <c r="N130" i="13"/>
  <c r="M130" i="13"/>
  <c r="L130" i="13"/>
  <c r="I130" i="13"/>
  <c r="H130" i="13"/>
  <c r="F130" i="13"/>
  <c r="E130" i="13"/>
  <c r="AD129" i="13"/>
  <c r="O129" i="13"/>
  <c r="L129" i="13"/>
  <c r="I129" i="13"/>
  <c r="F129" i="13"/>
  <c r="T128" i="13"/>
  <c r="Q128" i="13"/>
  <c r="N128" i="13"/>
  <c r="M128" i="13"/>
  <c r="K128" i="13"/>
  <c r="I128" i="13"/>
  <c r="G128" i="13"/>
  <c r="F128" i="13"/>
  <c r="E128" i="13"/>
  <c r="R127" i="13"/>
  <c r="Q127" i="13"/>
  <c r="O127" i="13"/>
  <c r="M127" i="13"/>
  <c r="L127" i="13"/>
  <c r="I127" i="13"/>
  <c r="H127" i="13"/>
  <c r="G127" i="13"/>
  <c r="E127" i="13"/>
  <c r="R126" i="13"/>
  <c r="O126" i="13" s="1"/>
  <c r="Q126" i="13"/>
  <c r="N126" i="13"/>
  <c r="M126" i="13"/>
  <c r="K126" i="13"/>
  <c r="I126" i="13"/>
  <c r="G126" i="13"/>
  <c r="F126" i="13"/>
  <c r="E126" i="13"/>
  <c r="U125" i="13"/>
  <c r="S125" i="13"/>
  <c r="P125" i="13"/>
  <c r="O125" i="13"/>
  <c r="N125" i="13"/>
  <c r="L125" i="13"/>
  <c r="K125" i="13"/>
  <c r="J125" i="13"/>
  <c r="H125" i="13"/>
  <c r="G125" i="13"/>
  <c r="F125" i="13"/>
  <c r="E125" i="13"/>
  <c r="Q125" i="13" s="1"/>
  <c r="Q124" i="13"/>
  <c r="O124" i="13"/>
  <c r="L124" i="13"/>
  <c r="I124" i="13"/>
  <c r="G124" i="13"/>
  <c r="E124" i="13"/>
  <c r="M124" i="13" s="1"/>
  <c r="E123" i="13"/>
  <c r="U122" i="13"/>
  <c r="S122" i="13"/>
  <c r="P122" i="13"/>
  <c r="O122" i="13"/>
  <c r="N122" i="13"/>
  <c r="L122" i="13"/>
  <c r="K122" i="13"/>
  <c r="J122" i="13"/>
  <c r="H122" i="13"/>
  <c r="G122" i="13"/>
  <c r="F122" i="13"/>
  <c r="E122" i="13"/>
  <c r="Q122" i="13" s="1"/>
  <c r="P118" i="13"/>
  <c r="M118" i="13"/>
  <c r="H118" i="13"/>
  <c r="F118" i="13"/>
  <c r="E118" i="13"/>
  <c r="Q118" i="13" s="1"/>
  <c r="E117" i="13"/>
  <c r="E115" i="13"/>
  <c r="Q114" i="13"/>
  <c r="L114" i="13"/>
  <c r="F114" i="13"/>
  <c r="E114" i="13"/>
  <c r="N114" i="13" s="1"/>
  <c r="R113" i="13"/>
  <c r="P113" i="13" s="1"/>
  <c r="E113" i="13"/>
  <c r="R110" i="13"/>
  <c r="S109" i="13"/>
  <c r="Q109" i="13"/>
  <c r="N109" i="13"/>
  <c r="M109" i="13"/>
  <c r="L109" i="13"/>
  <c r="I109" i="13"/>
  <c r="H109" i="13"/>
  <c r="F109" i="13"/>
  <c r="E109" i="13"/>
  <c r="S108" i="13"/>
  <c r="Q108" i="13"/>
  <c r="M108" i="13"/>
  <c r="K108" i="13"/>
  <c r="G108" i="13"/>
  <c r="F108" i="13"/>
  <c r="E108" i="13"/>
  <c r="N108" i="13" s="1"/>
  <c r="P107" i="13"/>
  <c r="O107" i="13"/>
  <c r="N107" i="13"/>
  <c r="L107" i="13"/>
  <c r="K107" i="13"/>
  <c r="J107" i="13"/>
  <c r="H107" i="13"/>
  <c r="G107" i="13"/>
  <c r="F107" i="13"/>
  <c r="E107" i="13"/>
  <c r="Q107" i="13" s="1"/>
  <c r="K106" i="13"/>
  <c r="I106" i="13"/>
  <c r="E106" i="13"/>
  <c r="O106" i="13" s="1"/>
  <c r="S105" i="13"/>
  <c r="Q105" i="13"/>
  <c r="N105" i="13"/>
  <c r="M105" i="13"/>
  <c r="L105" i="13"/>
  <c r="I105" i="13"/>
  <c r="H105" i="13"/>
  <c r="F105" i="13"/>
  <c r="E105" i="13"/>
  <c r="S104" i="13"/>
  <c r="Q104" i="13"/>
  <c r="M104" i="13"/>
  <c r="K104" i="13"/>
  <c r="G104" i="13"/>
  <c r="F104" i="13"/>
  <c r="E104" i="13"/>
  <c r="N104" i="13" s="1"/>
  <c r="Q100" i="13"/>
  <c r="P100" i="13"/>
  <c r="O100" i="13"/>
  <c r="N100" i="13"/>
  <c r="I100" i="13"/>
  <c r="H100" i="13"/>
  <c r="Z100" i="13" s="1"/>
  <c r="G100" i="13"/>
  <c r="F100" i="13"/>
  <c r="AD100" i="13" s="1"/>
  <c r="R99" i="13"/>
  <c r="J99" i="13" s="1"/>
  <c r="J101" i="13" s="1"/>
  <c r="E99" i="13"/>
  <c r="P95" i="13"/>
  <c r="O95" i="13"/>
  <c r="N95" i="13"/>
  <c r="L95" i="13"/>
  <c r="K95" i="13"/>
  <c r="J95" i="13"/>
  <c r="H95" i="13"/>
  <c r="G95" i="13"/>
  <c r="F95" i="13"/>
  <c r="E95" i="13"/>
  <c r="Q95" i="13" s="1"/>
  <c r="R94" i="13"/>
  <c r="Q94" i="13" s="1"/>
  <c r="E94" i="13"/>
  <c r="T90" i="13"/>
  <c r="P90" i="13"/>
  <c r="O90" i="13"/>
  <c r="N90" i="13"/>
  <c r="L90" i="13"/>
  <c r="K90" i="13"/>
  <c r="J90" i="13"/>
  <c r="H90" i="13"/>
  <c r="G90" i="13"/>
  <c r="F90" i="13"/>
  <c r="E90" i="13"/>
  <c r="Q90" i="13" s="1"/>
  <c r="P89" i="13"/>
  <c r="O89" i="13"/>
  <c r="I89" i="13"/>
  <c r="H89" i="13"/>
  <c r="E89" i="13"/>
  <c r="K89" i="13" s="1"/>
  <c r="Q88" i="13"/>
  <c r="N88" i="13"/>
  <c r="M88" i="13"/>
  <c r="L88" i="13"/>
  <c r="I88" i="13"/>
  <c r="H88" i="13"/>
  <c r="F88" i="13"/>
  <c r="E88" i="13"/>
  <c r="K87" i="13"/>
  <c r="E87" i="13"/>
  <c r="E86" i="13"/>
  <c r="U80" i="13"/>
  <c r="S80" i="13"/>
  <c r="P80" i="13"/>
  <c r="O80" i="13"/>
  <c r="N80" i="13"/>
  <c r="L80" i="13"/>
  <c r="K80" i="13"/>
  <c r="J80" i="13"/>
  <c r="H80" i="13"/>
  <c r="G80" i="13"/>
  <c r="F80" i="13"/>
  <c r="E80" i="13"/>
  <c r="Q80" i="13" s="1"/>
  <c r="O79" i="13"/>
  <c r="G79" i="13"/>
  <c r="E79" i="13"/>
  <c r="Q79" i="13" s="1"/>
  <c r="P78" i="13"/>
  <c r="N78" i="13"/>
  <c r="J78" i="13"/>
  <c r="I78" i="13"/>
  <c r="H78" i="13"/>
  <c r="E78" i="13"/>
  <c r="AD77" i="13"/>
  <c r="AC77" i="13"/>
  <c r="AB77" i="13"/>
  <c r="AA77" i="13"/>
  <c r="Z77" i="13"/>
  <c r="Y77" i="13"/>
  <c r="X77" i="13"/>
  <c r="W77" i="13"/>
  <c r="V77" i="13"/>
  <c r="U77" i="13"/>
  <c r="T77" i="13"/>
  <c r="S77" i="13"/>
  <c r="R77" i="13"/>
  <c r="R81" i="13" s="1"/>
  <c r="U76" i="13"/>
  <c r="T76" i="13"/>
  <c r="S76" i="13"/>
  <c r="P76" i="13"/>
  <c r="O76" i="13"/>
  <c r="N76" i="13"/>
  <c r="L76" i="13"/>
  <c r="K76" i="13"/>
  <c r="J76" i="13"/>
  <c r="H76" i="13"/>
  <c r="G76" i="13"/>
  <c r="F76" i="13"/>
  <c r="E76" i="13"/>
  <c r="Q76" i="13" s="1"/>
  <c r="Q75" i="13"/>
  <c r="O75" i="13"/>
  <c r="M75" i="13"/>
  <c r="L75" i="13"/>
  <c r="I75" i="13"/>
  <c r="H75" i="13"/>
  <c r="G75" i="13"/>
  <c r="E75" i="13"/>
  <c r="Q74" i="13"/>
  <c r="P74" i="13"/>
  <c r="M74" i="13"/>
  <c r="J74" i="13"/>
  <c r="H74" i="13"/>
  <c r="F74" i="13"/>
  <c r="E74" i="13"/>
  <c r="O71" i="13"/>
  <c r="S70" i="13"/>
  <c r="P70" i="13"/>
  <c r="O70" i="13"/>
  <c r="N70" i="13"/>
  <c r="L70" i="13"/>
  <c r="K70" i="13"/>
  <c r="J70" i="13"/>
  <c r="H70" i="13"/>
  <c r="G70" i="13"/>
  <c r="F70" i="13"/>
  <c r="E70" i="13"/>
  <c r="Q70" i="13" s="1"/>
  <c r="Q69" i="13"/>
  <c r="Q71" i="13" s="1"/>
  <c r="O69" i="13"/>
  <c r="M69" i="13"/>
  <c r="L69" i="13"/>
  <c r="L71" i="13" s="1"/>
  <c r="I69" i="13"/>
  <c r="H69" i="13"/>
  <c r="H71" i="13" s="1"/>
  <c r="G69" i="13"/>
  <c r="G71" i="13" s="1"/>
  <c r="E69" i="13"/>
  <c r="AD68" i="13"/>
  <c r="AC68" i="13"/>
  <c r="AB68" i="13"/>
  <c r="AA68" i="13"/>
  <c r="Z68" i="13"/>
  <c r="Y68" i="13"/>
  <c r="X68" i="13"/>
  <c r="W68" i="13"/>
  <c r="V68" i="13"/>
  <c r="U68" i="13"/>
  <c r="T68" i="13"/>
  <c r="S68" i="13"/>
  <c r="R68" i="13"/>
  <c r="R71" i="13" s="1"/>
  <c r="AD67" i="13"/>
  <c r="AC67" i="13"/>
  <c r="AB67" i="13"/>
  <c r="AA67" i="13"/>
  <c r="Z67" i="13"/>
  <c r="Y67" i="13"/>
  <c r="X67" i="13"/>
  <c r="W67" i="13"/>
  <c r="V67" i="13"/>
  <c r="U67" i="13"/>
  <c r="T67" i="13"/>
  <c r="S67" i="13"/>
  <c r="R67" i="13"/>
  <c r="AD66" i="13"/>
  <c r="AC66" i="13"/>
  <c r="AB66" i="13"/>
  <c r="AA66" i="13"/>
  <c r="Z66" i="13"/>
  <c r="Y66" i="13"/>
  <c r="X66" i="13"/>
  <c r="W66" i="13"/>
  <c r="V66" i="13"/>
  <c r="U66" i="13"/>
  <c r="T66" i="13"/>
  <c r="S66" i="13"/>
  <c r="R66" i="13"/>
  <c r="P63" i="13"/>
  <c r="I63" i="13"/>
  <c r="E63" i="13"/>
  <c r="Q63" i="13" s="1"/>
  <c r="R61" i="13"/>
  <c r="M60" i="13"/>
  <c r="H60" i="13"/>
  <c r="E60" i="13"/>
  <c r="O60" i="13" s="1"/>
  <c r="Q59" i="13"/>
  <c r="N59" i="13"/>
  <c r="L59" i="13"/>
  <c r="I59" i="13"/>
  <c r="F59" i="13"/>
  <c r="E59" i="13"/>
  <c r="M59" i="13" s="1"/>
  <c r="M61" i="13" s="1"/>
  <c r="R56" i="13"/>
  <c r="T55" i="13"/>
  <c r="P55" i="13"/>
  <c r="O55" i="13"/>
  <c r="N55" i="13"/>
  <c r="L55" i="13"/>
  <c r="K55" i="13"/>
  <c r="J55" i="13"/>
  <c r="H55" i="13"/>
  <c r="G55" i="13"/>
  <c r="F55" i="13"/>
  <c r="E55" i="13"/>
  <c r="Q55" i="13" s="1"/>
  <c r="M54" i="13"/>
  <c r="H54" i="13"/>
  <c r="E54" i="13"/>
  <c r="O54" i="13" s="1"/>
  <c r="Q53" i="13"/>
  <c r="N53" i="13"/>
  <c r="L53" i="13"/>
  <c r="I53" i="13"/>
  <c r="F53" i="13"/>
  <c r="E53" i="13"/>
  <c r="M53" i="13" s="1"/>
  <c r="O49" i="13"/>
  <c r="K49" i="13"/>
  <c r="G49" i="13"/>
  <c r="E49" i="13"/>
  <c r="N49" i="13" s="1"/>
  <c r="U48" i="13"/>
  <c r="P48" i="13"/>
  <c r="O48" i="13"/>
  <c r="N48" i="13"/>
  <c r="L48" i="13"/>
  <c r="K48" i="13"/>
  <c r="J48" i="13"/>
  <c r="H48" i="13"/>
  <c r="G48" i="13"/>
  <c r="F48" i="13"/>
  <c r="E48" i="13"/>
  <c r="Q48" i="13" s="1"/>
  <c r="R47" i="13"/>
  <c r="N47" i="13" s="1"/>
  <c r="J47" i="13"/>
  <c r="F47" i="13"/>
  <c r="E47" i="13"/>
  <c r="O46" i="13"/>
  <c r="K46" i="13"/>
  <c r="G46" i="13"/>
  <c r="E46" i="13"/>
  <c r="N46" i="13" s="1"/>
  <c r="U43" i="13"/>
  <c r="P43" i="13"/>
  <c r="O43" i="13"/>
  <c r="N43" i="13"/>
  <c r="L43" i="13"/>
  <c r="K43" i="13"/>
  <c r="J43" i="13"/>
  <c r="H43" i="13"/>
  <c r="G43" i="13"/>
  <c r="F43" i="13"/>
  <c r="E43" i="13"/>
  <c r="Q43" i="13" s="1"/>
  <c r="R41" i="13"/>
  <c r="S40" i="13"/>
  <c r="P40" i="13"/>
  <c r="N40" i="13"/>
  <c r="L40" i="13"/>
  <c r="J40" i="13"/>
  <c r="H40" i="13"/>
  <c r="F40" i="13"/>
  <c r="E40" i="13"/>
  <c r="Q40" i="13" s="1"/>
  <c r="AB39" i="13"/>
  <c r="X39" i="13"/>
  <c r="T39" i="13"/>
  <c r="S39" i="13"/>
  <c r="J39" i="13"/>
  <c r="I39" i="13"/>
  <c r="H39" i="13"/>
  <c r="S38" i="13"/>
  <c r="P38" i="13"/>
  <c r="N38" i="13"/>
  <c r="L38" i="13"/>
  <c r="J38" i="13"/>
  <c r="H38" i="13"/>
  <c r="F38" i="13"/>
  <c r="E38" i="13"/>
  <c r="Q38" i="13" s="1"/>
  <c r="AD37" i="13"/>
  <c r="AC37" i="13"/>
  <c r="AB37" i="13"/>
  <c r="AA37" i="13"/>
  <c r="Z37" i="13"/>
  <c r="Y37" i="13"/>
  <c r="X37" i="13"/>
  <c r="W37" i="13"/>
  <c r="V37" i="13"/>
  <c r="U37" i="13"/>
  <c r="T37" i="13"/>
  <c r="S37" i="13"/>
  <c r="R37" i="13"/>
  <c r="P36" i="13"/>
  <c r="O36" i="13"/>
  <c r="N36" i="13"/>
  <c r="L36" i="13"/>
  <c r="K36" i="13"/>
  <c r="J36" i="13"/>
  <c r="H36" i="13"/>
  <c r="G36" i="13"/>
  <c r="F36" i="13"/>
  <c r="E36" i="13"/>
  <c r="Q36" i="13" s="1"/>
  <c r="Q35" i="13"/>
  <c r="O35" i="13"/>
  <c r="I35" i="13"/>
  <c r="G35" i="13"/>
  <c r="E35" i="13"/>
  <c r="K35" i="13" s="1"/>
  <c r="AC31" i="13"/>
  <c r="AB31" i="13"/>
  <c r="AA31" i="13"/>
  <c r="Z31" i="13"/>
  <c r="Y31" i="13"/>
  <c r="X31" i="13"/>
  <c r="W31" i="13"/>
  <c r="V31" i="13"/>
  <c r="U31" i="13"/>
  <c r="T31" i="13"/>
  <c r="S31" i="13"/>
  <c r="R21" i="13"/>
  <c r="O20" i="13"/>
  <c r="I20" i="13"/>
  <c r="E20" i="13"/>
  <c r="S19" i="13"/>
  <c r="Q19" i="13"/>
  <c r="N19" i="13"/>
  <c r="M19" i="13"/>
  <c r="L19" i="13"/>
  <c r="I19" i="13"/>
  <c r="H19" i="13"/>
  <c r="F19" i="13"/>
  <c r="E19" i="13"/>
  <c r="Q18" i="13"/>
  <c r="M18" i="13"/>
  <c r="K18" i="13"/>
  <c r="G18" i="13"/>
  <c r="F18" i="13"/>
  <c r="E18" i="13"/>
  <c r="N18" i="13" s="1"/>
  <c r="U17" i="13"/>
  <c r="P17" i="13"/>
  <c r="O17" i="13"/>
  <c r="N17" i="13"/>
  <c r="L17" i="13"/>
  <c r="K17" i="13"/>
  <c r="J17" i="13"/>
  <c r="H17" i="13"/>
  <c r="G17" i="13"/>
  <c r="F17" i="13"/>
  <c r="E17" i="13"/>
  <c r="Q17" i="13" s="1"/>
  <c r="Q16" i="13"/>
  <c r="P16" i="13"/>
  <c r="O16" i="13"/>
  <c r="N16" i="13"/>
  <c r="M16" i="13"/>
  <c r="L16" i="13"/>
  <c r="K16" i="13"/>
  <c r="J16" i="13"/>
  <c r="I16" i="13"/>
  <c r="H16" i="13"/>
  <c r="G16" i="13"/>
  <c r="AD16" i="13" s="1"/>
  <c r="F16" i="13"/>
  <c r="Q13" i="13"/>
  <c r="P13" i="13"/>
  <c r="O13" i="13"/>
  <c r="N13" i="13"/>
  <c r="M13" i="13"/>
  <c r="L13" i="13"/>
  <c r="K13" i="13"/>
  <c r="J13" i="13"/>
  <c r="I13" i="13"/>
  <c r="H13" i="13"/>
  <c r="G13" i="13"/>
  <c r="F13" i="13"/>
  <c r="AD12" i="13"/>
  <c r="AC12" i="13"/>
  <c r="AB12" i="13"/>
  <c r="AA12" i="13"/>
  <c r="Z12" i="13"/>
  <c r="Y12" i="13"/>
  <c r="X12" i="13"/>
  <c r="W12" i="13"/>
  <c r="V12" i="13"/>
  <c r="U12" i="13"/>
  <c r="T12" i="13"/>
  <c r="S12" i="13"/>
  <c r="R12" i="13"/>
  <c r="AD11" i="13"/>
  <c r="AC11" i="13"/>
  <c r="AB11" i="13"/>
  <c r="AA11" i="13"/>
  <c r="Z11" i="13"/>
  <c r="Y11" i="13"/>
  <c r="X11" i="13"/>
  <c r="W11" i="13"/>
  <c r="V11" i="13"/>
  <c r="U11" i="13"/>
  <c r="T11" i="13"/>
  <c r="S11" i="13"/>
  <c r="R11" i="13"/>
  <c r="AD10" i="13"/>
  <c r="AC10" i="13"/>
  <c r="AB10" i="13"/>
  <c r="AB13" i="13" s="1"/>
  <c r="AA10" i="13"/>
  <c r="Z10" i="13"/>
  <c r="Y10" i="13"/>
  <c r="X10" i="13"/>
  <c r="W10" i="13"/>
  <c r="V10" i="13"/>
  <c r="U10" i="13"/>
  <c r="T10" i="13"/>
  <c r="S10" i="13"/>
  <c r="R10" i="13"/>
  <c r="AD9" i="13"/>
  <c r="AC9" i="13"/>
  <c r="AC13" i="13" s="1"/>
  <c r="AB9" i="13"/>
  <c r="AA9" i="13"/>
  <c r="Z9" i="13"/>
  <c r="Y9" i="13"/>
  <c r="X9" i="13"/>
  <c r="W9" i="13"/>
  <c r="V9" i="13"/>
  <c r="U9" i="13"/>
  <c r="T9" i="13"/>
  <c r="S9" i="13"/>
  <c r="R9" i="13"/>
  <c r="AD8" i="13"/>
  <c r="AC8" i="13"/>
  <c r="AB8" i="13"/>
  <c r="AA8" i="13"/>
  <c r="Z8" i="13"/>
  <c r="Y8" i="13"/>
  <c r="Y13" i="13" s="1"/>
  <c r="X8" i="13"/>
  <c r="W8" i="13"/>
  <c r="V8" i="13"/>
  <c r="V13" i="13" s="1"/>
  <c r="U8" i="13"/>
  <c r="U13" i="13" s="1"/>
  <c r="T8" i="13"/>
  <c r="S8" i="13"/>
  <c r="R8" i="13"/>
  <c r="R13" i="13" s="1"/>
  <c r="R22" i="13" s="1"/>
  <c r="AD7" i="13"/>
  <c r="AD13" i="13" s="1"/>
  <c r="AC7" i="13"/>
  <c r="AB7" i="13"/>
  <c r="AA7" i="13"/>
  <c r="AA13" i="13" s="1"/>
  <c r="Z7" i="13"/>
  <c r="Z13" i="13" s="1"/>
  <c r="Y7" i="13"/>
  <c r="X7" i="13"/>
  <c r="X13" i="13" s="1"/>
  <c r="W7" i="13"/>
  <c r="W13" i="13" s="1"/>
  <c r="V7" i="13"/>
  <c r="U7" i="13"/>
  <c r="T7" i="13"/>
  <c r="T13" i="13" s="1"/>
  <c r="S7" i="13"/>
  <c r="S13" i="13" s="1"/>
  <c r="R7" i="13"/>
  <c r="S3" i="13"/>
  <c r="J163" i="1"/>
  <c r="J162" i="1"/>
  <c r="J161" i="1"/>
  <c r="J160" i="1"/>
  <c r="J154" i="1"/>
  <c r="J153" i="1"/>
  <c r="J152" i="1"/>
  <c r="J151" i="1"/>
  <c r="J150" i="1"/>
  <c r="J149" i="1"/>
  <c r="J148" i="1"/>
  <c r="J147" i="1"/>
  <c r="J143" i="1"/>
  <c r="J142" i="1"/>
  <c r="J141" i="1"/>
  <c r="J140" i="1"/>
  <c r="J139" i="1"/>
  <c r="J138" i="1"/>
  <c r="J137" i="1"/>
  <c r="J131" i="1"/>
  <c r="J130" i="1"/>
  <c r="J129" i="1"/>
  <c r="J128" i="1"/>
  <c r="J127" i="1"/>
  <c r="J126" i="1"/>
  <c r="J125" i="1"/>
  <c r="J124" i="1"/>
  <c r="J123" i="1"/>
  <c r="J122" i="1"/>
  <c r="J118" i="1"/>
  <c r="J117" i="1"/>
  <c r="J116" i="1"/>
  <c r="J115" i="1"/>
  <c r="J114" i="1"/>
  <c r="J113" i="1"/>
  <c r="J109" i="1"/>
  <c r="J108" i="1"/>
  <c r="J107" i="1"/>
  <c r="J106" i="1"/>
  <c r="J105" i="1"/>
  <c r="J104" i="1"/>
  <c r="J100" i="1"/>
  <c r="J99" i="1"/>
  <c r="J95" i="1"/>
  <c r="J94" i="1"/>
  <c r="J90" i="1"/>
  <c r="J89" i="1"/>
  <c r="J88" i="1"/>
  <c r="J87" i="1"/>
  <c r="J86" i="1"/>
  <c r="J80" i="1"/>
  <c r="J79" i="1"/>
  <c r="J78" i="1"/>
  <c r="J77" i="1"/>
  <c r="J76" i="1"/>
  <c r="J75" i="1"/>
  <c r="J74" i="1"/>
  <c r="J70" i="1"/>
  <c r="J69" i="1"/>
  <c r="J68" i="1"/>
  <c r="J67" i="1"/>
  <c r="J66" i="1"/>
  <c r="J63" i="1"/>
  <c r="J60" i="1"/>
  <c r="J59" i="1"/>
  <c r="J55" i="1"/>
  <c r="J54" i="1"/>
  <c r="J53" i="1"/>
  <c r="J49" i="1"/>
  <c r="J48" i="1"/>
  <c r="J47" i="1"/>
  <c r="J46" i="1"/>
  <c r="J43" i="1"/>
  <c r="J40" i="1"/>
  <c r="J39" i="1"/>
  <c r="J38" i="1"/>
  <c r="J37" i="1"/>
  <c r="J36" i="1"/>
  <c r="J35" i="1"/>
  <c r="J31" i="1"/>
  <c r="J20" i="1"/>
  <c r="J19" i="1"/>
  <c r="J18" i="1"/>
  <c r="J17" i="1"/>
  <c r="J16" i="1"/>
  <c r="J8" i="1"/>
  <c r="J9" i="1"/>
  <c r="J10" i="1"/>
  <c r="J11" i="1"/>
  <c r="J12" i="1"/>
  <c r="J7" i="1"/>
  <c r="M164" i="1"/>
  <c r="M155" i="1"/>
  <c r="M144" i="1"/>
  <c r="M156" i="1" s="1"/>
  <c r="M132" i="1"/>
  <c r="M119" i="1"/>
  <c r="M110" i="1"/>
  <c r="M101" i="1"/>
  <c r="M96" i="1"/>
  <c r="M91" i="1"/>
  <c r="M133" i="1" s="1"/>
  <c r="M81" i="1"/>
  <c r="M71" i="1"/>
  <c r="M61" i="1"/>
  <c r="M56" i="1"/>
  <c r="M50" i="1"/>
  <c r="M41" i="1"/>
  <c r="M21" i="1"/>
  <c r="M13" i="1"/>
  <c r="M22" i="1" s="1"/>
  <c r="F53" i="14" l="1"/>
  <c r="K87" i="14"/>
  <c r="P100" i="14"/>
  <c r="Q100" i="14"/>
  <c r="N100" i="14"/>
  <c r="N124" i="14"/>
  <c r="I141" i="14"/>
  <c r="O70" i="14"/>
  <c r="H107" i="14"/>
  <c r="H124" i="14"/>
  <c r="N18" i="14"/>
  <c r="J59" i="14"/>
  <c r="Q59" i="14"/>
  <c r="N59" i="14"/>
  <c r="N142" i="14"/>
  <c r="N153" i="14"/>
  <c r="P130" i="14"/>
  <c r="J20" i="14"/>
  <c r="P35" i="14"/>
  <c r="Q35" i="14"/>
  <c r="N35" i="14"/>
  <c r="P47" i="14"/>
  <c r="O63" i="14"/>
  <c r="O69" i="14"/>
  <c r="L76" i="14"/>
  <c r="L80" i="14"/>
  <c r="L95" i="14"/>
  <c r="L108" i="14"/>
  <c r="N123" i="14"/>
  <c r="Q127" i="14"/>
  <c r="O151" i="14"/>
  <c r="Q36" i="14"/>
  <c r="N36" i="14"/>
  <c r="L55" i="14"/>
  <c r="I109" i="14"/>
  <c r="J55" i="14"/>
  <c r="N163" i="14"/>
  <c r="P49" i="14"/>
  <c r="F18" i="14"/>
  <c r="I38" i="14"/>
  <c r="P55" i="14"/>
  <c r="N70" i="14"/>
  <c r="M89" i="14"/>
  <c r="G19" i="14"/>
  <c r="Q38" i="14"/>
  <c r="N46" i="14"/>
  <c r="L53" i="14"/>
  <c r="K60" i="14"/>
  <c r="Q60" i="14"/>
  <c r="N60" i="14"/>
  <c r="O79" i="14"/>
  <c r="Q90" i="14"/>
  <c r="L107" i="14"/>
  <c r="K118" i="14"/>
  <c r="I126" i="14"/>
  <c r="O130" i="14"/>
  <c r="L139" i="14"/>
  <c r="J150" i="14"/>
  <c r="K163" i="14"/>
  <c r="Q149" i="14"/>
  <c r="Q163" i="14"/>
  <c r="Q164" i="14" s="1"/>
  <c r="F163" i="14"/>
  <c r="F164" i="14" s="1"/>
  <c r="K139" i="14"/>
  <c r="L49" i="14"/>
  <c r="J78" i="14"/>
  <c r="I128" i="14"/>
  <c r="Q96" i="13"/>
  <c r="K19" i="14"/>
  <c r="O49" i="14"/>
  <c r="K79" i="14"/>
  <c r="M106" i="14"/>
  <c r="Q107" i="14"/>
  <c r="G126" i="14"/>
  <c r="K130" i="14"/>
  <c r="M82" i="1"/>
  <c r="M166" i="1" s="1"/>
  <c r="AA100" i="13"/>
  <c r="T100" i="13"/>
  <c r="Y100" i="13"/>
  <c r="J18" i="14"/>
  <c r="Q49" i="14"/>
  <c r="N76" i="14"/>
  <c r="F95" i="14"/>
  <c r="K108" i="14"/>
  <c r="H95" i="14"/>
  <c r="P108" i="14"/>
  <c r="G113" i="13"/>
  <c r="F20" i="14"/>
  <c r="S20" i="14" s="1"/>
  <c r="M95" i="14"/>
  <c r="I147" i="14"/>
  <c r="F76" i="14"/>
  <c r="S76" i="14" s="1"/>
  <c r="N95" i="14"/>
  <c r="F108" i="14"/>
  <c r="S108" i="14" s="1"/>
  <c r="O140" i="14"/>
  <c r="K55" i="14"/>
  <c r="F70" i="14"/>
  <c r="S70" i="14" s="1"/>
  <c r="F148" i="14"/>
  <c r="S148" i="14" s="1"/>
  <c r="P18" i="14"/>
  <c r="Q43" i="14"/>
  <c r="J49" i="14"/>
  <c r="H55" i="14"/>
  <c r="O55" i="14"/>
  <c r="L70" i="14"/>
  <c r="F100" i="14"/>
  <c r="L152" i="14"/>
  <c r="R21" i="14"/>
  <c r="Q55" i="14"/>
  <c r="O100" i="14"/>
  <c r="L18" i="14"/>
  <c r="G49" i="14"/>
  <c r="F55" i="14"/>
  <c r="N55" i="14"/>
  <c r="L59" i="14"/>
  <c r="J70" i="14"/>
  <c r="Q125" i="14"/>
  <c r="O141" i="14"/>
  <c r="Q148" i="14"/>
  <c r="G152" i="14"/>
  <c r="K161" i="14"/>
  <c r="M94" i="13"/>
  <c r="J113" i="13"/>
  <c r="F99" i="13"/>
  <c r="F101" i="13" s="1"/>
  <c r="L113" i="13"/>
  <c r="L16" i="14"/>
  <c r="Q18" i="14"/>
  <c r="K18" i="14"/>
  <c r="L20" i="14"/>
  <c r="H49" i="14"/>
  <c r="N49" i="14"/>
  <c r="J74" i="14"/>
  <c r="H76" i="14"/>
  <c r="P76" i="14"/>
  <c r="O78" i="14"/>
  <c r="L90" i="14"/>
  <c r="I107" i="14"/>
  <c r="O118" i="14"/>
  <c r="I138" i="14"/>
  <c r="K153" i="14"/>
  <c r="P66" i="14"/>
  <c r="AD66" i="14" s="1"/>
  <c r="Q99" i="13"/>
  <c r="Q101" i="13" s="1"/>
  <c r="O113" i="13"/>
  <c r="T131" i="1"/>
  <c r="U104" i="1"/>
  <c r="U122" i="1"/>
  <c r="R122" i="14"/>
  <c r="M122" i="14" s="1"/>
  <c r="G16" i="14"/>
  <c r="O16" i="14"/>
  <c r="N20" i="14"/>
  <c r="J76" i="14"/>
  <c r="N90" i="14"/>
  <c r="K109" i="14"/>
  <c r="H16" i="14"/>
  <c r="P16" i="14"/>
  <c r="G18" i="14"/>
  <c r="O18" i="14"/>
  <c r="O20" i="14"/>
  <c r="I39" i="14"/>
  <c r="H39" i="14" s="1"/>
  <c r="F49" i="14"/>
  <c r="S49" i="14" s="1"/>
  <c r="K49" i="14"/>
  <c r="O59" i="14"/>
  <c r="K63" i="14"/>
  <c r="O76" i="14"/>
  <c r="Q78" i="14"/>
  <c r="G100" i="14"/>
  <c r="G107" i="14"/>
  <c r="O107" i="14"/>
  <c r="L129" i="14"/>
  <c r="I129" i="14"/>
  <c r="V129" i="14" s="1"/>
  <c r="O129" i="14"/>
  <c r="J139" i="14"/>
  <c r="P139" i="14"/>
  <c r="I127" i="14"/>
  <c r="K127" i="14"/>
  <c r="M109" i="14"/>
  <c r="Q79" i="14"/>
  <c r="O47" i="14"/>
  <c r="H46" i="14"/>
  <c r="AB37" i="14"/>
  <c r="AA37" i="14"/>
  <c r="AD37" i="14"/>
  <c r="Z37" i="14"/>
  <c r="AC37" i="14"/>
  <c r="AD67" i="14"/>
  <c r="AC67" i="14"/>
  <c r="AB67" i="14"/>
  <c r="AD68" i="14"/>
  <c r="Z68" i="14"/>
  <c r="AC68" i="14"/>
  <c r="Y68" i="14"/>
  <c r="AB68" i="14"/>
  <c r="X68" i="14"/>
  <c r="AA68" i="14"/>
  <c r="W68" i="14"/>
  <c r="L94" i="13"/>
  <c r="L96" i="13" s="1"/>
  <c r="L99" i="13"/>
  <c r="L101" i="13" s="1"/>
  <c r="H113" i="13"/>
  <c r="N113" i="13"/>
  <c r="K47" i="14"/>
  <c r="G63" i="14"/>
  <c r="Q74" i="14"/>
  <c r="H78" i="14"/>
  <c r="N78" i="14"/>
  <c r="I106" i="14"/>
  <c r="O124" i="14"/>
  <c r="K141" i="14"/>
  <c r="P148" i="14"/>
  <c r="F152" i="14"/>
  <c r="S152" i="14" s="1"/>
  <c r="K152" i="14"/>
  <c r="P152" i="14"/>
  <c r="H161" i="14"/>
  <c r="U161" i="14" s="1"/>
  <c r="H77" i="14"/>
  <c r="AA77" i="14" s="1"/>
  <c r="F113" i="13"/>
  <c r="S113" i="13" s="1"/>
  <c r="K113" i="13"/>
  <c r="I16" i="14"/>
  <c r="M16" i="14"/>
  <c r="Q16" i="14"/>
  <c r="H20" i="14"/>
  <c r="P20" i="14"/>
  <c r="K46" i="14"/>
  <c r="G47" i="14"/>
  <c r="Q47" i="14"/>
  <c r="J53" i="14"/>
  <c r="O74" i="14"/>
  <c r="F78" i="14"/>
  <c r="S78" i="14" s="1"/>
  <c r="K78" i="14"/>
  <c r="P78" i="14"/>
  <c r="I95" i="14"/>
  <c r="Q95" i="14"/>
  <c r="Q106" i="14"/>
  <c r="L124" i="14"/>
  <c r="M127" i="14"/>
  <c r="N127" i="14"/>
  <c r="O128" i="14"/>
  <c r="G141" i="14"/>
  <c r="Q141" i="14"/>
  <c r="G148" i="14"/>
  <c r="L151" i="14"/>
  <c r="H152" i="14"/>
  <c r="N152" i="14"/>
  <c r="N161" i="14"/>
  <c r="R164" i="14"/>
  <c r="F94" i="13"/>
  <c r="F96" i="13" s="1"/>
  <c r="F16" i="14"/>
  <c r="J16" i="14"/>
  <c r="N16" i="14"/>
  <c r="H18" i="14"/>
  <c r="I47" i="14"/>
  <c r="N53" i="14"/>
  <c r="G55" i="14"/>
  <c r="H70" i="14"/>
  <c r="G78" i="14"/>
  <c r="F90" i="14"/>
  <c r="S90" i="14" s="1"/>
  <c r="H100" i="14"/>
  <c r="F106" i="14"/>
  <c r="S106" i="14" s="1"/>
  <c r="G118" i="14"/>
  <c r="J123" i="14"/>
  <c r="P124" i="14"/>
  <c r="F127" i="14"/>
  <c r="S127" i="14" s="1"/>
  <c r="I140" i="14"/>
  <c r="F149" i="14"/>
  <c r="S149" i="14" s="1"/>
  <c r="Q152" i="14"/>
  <c r="J152" i="14"/>
  <c r="M151" i="14"/>
  <c r="G151" i="14"/>
  <c r="Q151" i="14"/>
  <c r="I151" i="14"/>
  <c r="F147" i="14"/>
  <c r="U147" i="14" s="1"/>
  <c r="L147" i="14"/>
  <c r="R155" i="14"/>
  <c r="L142" i="14"/>
  <c r="Q142" i="14"/>
  <c r="F139" i="14"/>
  <c r="S139" i="14" s="1"/>
  <c r="N139" i="14"/>
  <c r="H139" i="14"/>
  <c r="O139" i="14"/>
  <c r="G139" i="14"/>
  <c r="O138" i="14"/>
  <c r="F123" i="14"/>
  <c r="S123" i="14" s="1"/>
  <c r="Q126" i="14"/>
  <c r="F131" i="14"/>
  <c r="Y131" i="14" s="1"/>
  <c r="Z77" i="14"/>
  <c r="T77" i="14"/>
  <c r="J80" i="14"/>
  <c r="R81" i="14"/>
  <c r="F80" i="14"/>
  <c r="S80" i="14" s="1"/>
  <c r="N80" i="14"/>
  <c r="H80" i="14"/>
  <c r="P80" i="14"/>
  <c r="O80" i="14"/>
  <c r="L74" i="14"/>
  <c r="G74" i="14"/>
  <c r="F74" i="14"/>
  <c r="S74" i="14" s="1"/>
  <c r="K74" i="14"/>
  <c r="P74" i="14"/>
  <c r="H74" i="14"/>
  <c r="R71" i="14"/>
  <c r="AB66" i="14"/>
  <c r="G60" i="14"/>
  <c r="O60" i="14"/>
  <c r="H53" i="14"/>
  <c r="P53" i="14"/>
  <c r="O53" i="14"/>
  <c r="R56" i="14"/>
  <c r="R50" i="14"/>
  <c r="K48" i="14"/>
  <c r="F35" i="14"/>
  <c r="S35" i="14" s="1"/>
  <c r="I163" i="14"/>
  <c r="I164" i="14" s="1"/>
  <c r="K149" i="14"/>
  <c r="F153" i="14"/>
  <c r="S153" i="14" s="1"/>
  <c r="Q153" i="14"/>
  <c r="M149" i="14"/>
  <c r="N149" i="14"/>
  <c r="H151" i="14"/>
  <c r="I153" i="14"/>
  <c r="M153" i="14"/>
  <c r="X143" i="14"/>
  <c r="T143" i="14"/>
  <c r="AB143" i="14"/>
  <c r="H142" i="14"/>
  <c r="P142" i="14"/>
  <c r="G138" i="14"/>
  <c r="Q138" i="14"/>
  <c r="F140" i="14"/>
  <c r="T140" i="14" s="1"/>
  <c r="J142" i="14"/>
  <c r="R144" i="14"/>
  <c r="F142" i="14"/>
  <c r="S142" i="14" s="1"/>
  <c r="T129" i="14"/>
  <c r="J124" i="14"/>
  <c r="O126" i="14"/>
  <c r="L128" i="14"/>
  <c r="U129" i="14"/>
  <c r="G130" i="14"/>
  <c r="T130" i="14" s="1"/>
  <c r="L130" i="14"/>
  <c r="F124" i="14"/>
  <c r="S124" i="14" s="1"/>
  <c r="G128" i="14"/>
  <c r="Q130" i="14"/>
  <c r="J130" i="14"/>
  <c r="H108" i="14"/>
  <c r="N108" i="14"/>
  <c r="K106" i="14"/>
  <c r="Q108" i="14"/>
  <c r="J108" i="14"/>
  <c r="O108" i="14"/>
  <c r="G106" i="14"/>
  <c r="G108" i="14"/>
  <c r="M87" i="14"/>
  <c r="I79" i="14"/>
  <c r="O75" i="14"/>
  <c r="O71" i="14"/>
  <c r="G69" i="14"/>
  <c r="K69" i="14"/>
  <c r="O61" i="14"/>
  <c r="F59" i="14"/>
  <c r="S59" i="14" s="1"/>
  <c r="H59" i="14"/>
  <c r="P59" i="14"/>
  <c r="I60" i="14"/>
  <c r="R61" i="14"/>
  <c r="G46" i="14"/>
  <c r="L46" i="14"/>
  <c r="G48" i="14"/>
  <c r="Q46" i="14"/>
  <c r="J46" i="14"/>
  <c r="O46" i="14"/>
  <c r="K43" i="14"/>
  <c r="O40" i="14"/>
  <c r="J35" i="14"/>
  <c r="O35" i="14"/>
  <c r="L35" i="14"/>
  <c r="R41" i="14"/>
  <c r="H35" i="14"/>
  <c r="O19" i="14"/>
  <c r="O17" i="14"/>
  <c r="J36" i="14"/>
  <c r="F36" i="14"/>
  <c r="P36" i="14"/>
  <c r="L36" i="14"/>
  <c r="H36" i="14"/>
  <c r="M40" i="14"/>
  <c r="N54" i="14"/>
  <c r="J54" i="14"/>
  <c r="F54" i="14"/>
  <c r="P54" i="14"/>
  <c r="L54" i="14"/>
  <c r="H54" i="14"/>
  <c r="M75" i="14"/>
  <c r="G17" i="14"/>
  <c r="P19" i="14"/>
  <c r="L19" i="14"/>
  <c r="H19" i="14"/>
  <c r="N19" i="14"/>
  <c r="J19" i="14"/>
  <c r="F19" i="14"/>
  <c r="M19" i="14"/>
  <c r="G36" i="14"/>
  <c r="O36" i="14"/>
  <c r="G40" i="14"/>
  <c r="S46" i="14"/>
  <c r="N48" i="14"/>
  <c r="J48" i="14"/>
  <c r="F48" i="14"/>
  <c r="P48" i="14"/>
  <c r="P50" i="14" s="1"/>
  <c r="L48" i="14"/>
  <c r="H48" i="14"/>
  <c r="M48" i="14"/>
  <c r="G54" i="14"/>
  <c r="O54" i="14"/>
  <c r="P63" i="14"/>
  <c r="L63" i="14"/>
  <c r="H63" i="14"/>
  <c r="N63" i="14"/>
  <c r="J63" i="14"/>
  <c r="F63" i="14"/>
  <c r="M63" i="14"/>
  <c r="P69" i="14"/>
  <c r="L69" i="14"/>
  <c r="L71" i="14" s="1"/>
  <c r="H69" i="14"/>
  <c r="N69" i="14"/>
  <c r="N71" i="14" s="1"/>
  <c r="J69" i="14"/>
  <c r="F69" i="14"/>
  <c r="M69" i="14"/>
  <c r="G75" i="14"/>
  <c r="P114" i="14"/>
  <c r="L114" i="14"/>
  <c r="H114" i="14"/>
  <c r="N114" i="14"/>
  <c r="J114" i="14"/>
  <c r="F114" i="14"/>
  <c r="O114" i="14"/>
  <c r="G114" i="14"/>
  <c r="I114" i="14"/>
  <c r="M114" i="14"/>
  <c r="N17" i="14"/>
  <c r="J17" i="14"/>
  <c r="F17" i="14"/>
  <c r="P17" i="14"/>
  <c r="L17" i="14"/>
  <c r="H17" i="14"/>
  <c r="M17" i="14"/>
  <c r="M36" i="14"/>
  <c r="P40" i="14"/>
  <c r="L40" i="14"/>
  <c r="H40" i="14"/>
  <c r="N40" i="14"/>
  <c r="J40" i="14"/>
  <c r="F40" i="14"/>
  <c r="M54" i="14"/>
  <c r="P75" i="14"/>
  <c r="L75" i="14"/>
  <c r="H75" i="14"/>
  <c r="N75" i="14"/>
  <c r="J75" i="14"/>
  <c r="F75" i="14"/>
  <c r="I17" i="14"/>
  <c r="Q17" i="14"/>
  <c r="I36" i="14"/>
  <c r="P38" i="14"/>
  <c r="L38" i="14"/>
  <c r="H38" i="14"/>
  <c r="N38" i="14"/>
  <c r="J38" i="14"/>
  <c r="F38" i="14"/>
  <c r="M38" i="14"/>
  <c r="I40" i="14"/>
  <c r="Q40" i="14"/>
  <c r="N43" i="14"/>
  <c r="J43" i="14"/>
  <c r="F43" i="14"/>
  <c r="P43" i="14"/>
  <c r="L43" i="14"/>
  <c r="H43" i="14"/>
  <c r="M43" i="14"/>
  <c r="S53" i="14"/>
  <c r="I54" i="14"/>
  <c r="Q54" i="14"/>
  <c r="I75" i="14"/>
  <c r="Q75" i="14"/>
  <c r="N87" i="14"/>
  <c r="J87" i="14"/>
  <c r="F87" i="14"/>
  <c r="O87" i="14"/>
  <c r="I87" i="14"/>
  <c r="Q87" i="14"/>
  <c r="L87" i="14"/>
  <c r="G87" i="14"/>
  <c r="P87" i="14"/>
  <c r="P89" i="14"/>
  <c r="L89" i="14"/>
  <c r="H89" i="14"/>
  <c r="Q89" i="14"/>
  <c r="K89" i="14"/>
  <c r="F89" i="14"/>
  <c r="N89" i="14"/>
  <c r="I89" i="14"/>
  <c r="O89" i="14"/>
  <c r="K17" i="14"/>
  <c r="S18" i="14"/>
  <c r="I19" i="14"/>
  <c r="Q19" i="14"/>
  <c r="K36" i="14"/>
  <c r="G38" i="14"/>
  <c r="O38" i="14"/>
  <c r="K40" i="14"/>
  <c r="G43" i="14"/>
  <c r="O43" i="14"/>
  <c r="N47" i="14"/>
  <c r="J47" i="14"/>
  <c r="F47" i="14"/>
  <c r="M47" i="14"/>
  <c r="I48" i="14"/>
  <c r="Q48" i="14"/>
  <c r="K54" i="14"/>
  <c r="S55" i="14"/>
  <c r="N61" i="14"/>
  <c r="J60" i="14"/>
  <c r="F60" i="14"/>
  <c r="P60" i="14"/>
  <c r="L60" i="14"/>
  <c r="H60" i="14"/>
  <c r="M60" i="14"/>
  <c r="I63" i="14"/>
  <c r="Q63" i="14"/>
  <c r="I69" i="14"/>
  <c r="Q69" i="14"/>
  <c r="K75" i="14"/>
  <c r="P79" i="14"/>
  <c r="L79" i="14"/>
  <c r="H79" i="14"/>
  <c r="N79" i="14"/>
  <c r="J79" i="14"/>
  <c r="F79" i="14"/>
  <c r="M79" i="14"/>
  <c r="H87" i="14"/>
  <c r="G89" i="14"/>
  <c r="S95" i="14"/>
  <c r="Q114" i="14"/>
  <c r="O137" i="14"/>
  <c r="K137" i="14"/>
  <c r="G137" i="14"/>
  <c r="Q137" i="14"/>
  <c r="L137" i="14"/>
  <c r="F137" i="14"/>
  <c r="N137" i="14"/>
  <c r="I137" i="14"/>
  <c r="M137" i="14"/>
  <c r="H137" i="14"/>
  <c r="O154" i="14"/>
  <c r="K154" i="14"/>
  <c r="G154" i="14"/>
  <c r="Q154" i="14"/>
  <c r="L154" i="14"/>
  <c r="F154" i="14"/>
  <c r="N154" i="14"/>
  <c r="I154" i="14"/>
  <c r="H154" i="14"/>
  <c r="M154" i="14"/>
  <c r="J154" i="14"/>
  <c r="I20" i="14"/>
  <c r="M20" i="14"/>
  <c r="Q20" i="14"/>
  <c r="I35" i="14"/>
  <c r="M35" i="14"/>
  <c r="I53" i="14"/>
  <c r="M53" i="14"/>
  <c r="Q53" i="14"/>
  <c r="I59" i="14"/>
  <c r="M59" i="14"/>
  <c r="I70" i="14"/>
  <c r="M70" i="14"/>
  <c r="Q70" i="14"/>
  <c r="I76" i="14"/>
  <c r="M76" i="14"/>
  <c r="Q76" i="14"/>
  <c r="I80" i="14"/>
  <c r="M80" i="14"/>
  <c r="Q80" i="14"/>
  <c r="O90" i="14"/>
  <c r="K90" i="14"/>
  <c r="G90" i="14"/>
  <c r="J90" i="14"/>
  <c r="P90" i="14"/>
  <c r="N125" i="14"/>
  <c r="J125" i="14"/>
  <c r="F125" i="14"/>
  <c r="P125" i="14"/>
  <c r="L125" i="14"/>
  <c r="H125" i="14"/>
  <c r="K125" i="14"/>
  <c r="O125" i="14"/>
  <c r="G125" i="14"/>
  <c r="J137" i="14"/>
  <c r="P154" i="14"/>
  <c r="I18" i="14"/>
  <c r="M18" i="14"/>
  <c r="G20" i="14"/>
  <c r="K20" i="14"/>
  <c r="G35" i="14"/>
  <c r="K35" i="14"/>
  <c r="I46" i="14"/>
  <c r="M46" i="14"/>
  <c r="H47" i="14"/>
  <c r="L47" i="14"/>
  <c r="I49" i="14"/>
  <c r="M49" i="14"/>
  <c r="G53" i="14"/>
  <c r="K53" i="14"/>
  <c r="I55" i="14"/>
  <c r="M55" i="14"/>
  <c r="G59" i="14"/>
  <c r="K59" i="14"/>
  <c r="G70" i="14"/>
  <c r="K70" i="14"/>
  <c r="I74" i="14"/>
  <c r="M74" i="14"/>
  <c r="G76" i="14"/>
  <c r="K76" i="14"/>
  <c r="I78" i="14"/>
  <c r="M78" i="14"/>
  <c r="G80" i="14"/>
  <c r="K80" i="14"/>
  <c r="H90" i="14"/>
  <c r="M90" i="14"/>
  <c r="O95" i="14"/>
  <c r="K95" i="14"/>
  <c r="G95" i="14"/>
  <c r="J95" i="14"/>
  <c r="P95" i="14"/>
  <c r="P106" i="14"/>
  <c r="L106" i="14"/>
  <c r="H106" i="14"/>
  <c r="J106" i="14"/>
  <c r="O106" i="14"/>
  <c r="P109" i="14"/>
  <c r="L109" i="14"/>
  <c r="H109" i="14"/>
  <c r="N109" i="14"/>
  <c r="J109" i="14"/>
  <c r="F109" i="14"/>
  <c r="O109" i="14"/>
  <c r="G109" i="14"/>
  <c r="Q109" i="14"/>
  <c r="Q123" i="14"/>
  <c r="M123" i="14"/>
  <c r="I123" i="14"/>
  <c r="O123" i="14"/>
  <c r="K123" i="14"/>
  <c r="G123" i="14"/>
  <c r="P123" i="14"/>
  <c r="H123" i="14"/>
  <c r="L123" i="14"/>
  <c r="M125" i="14"/>
  <c r="N107" i="14"/>
  <c r="J107" i="14"/>
  <c r="F107" i="14"/>
  <c r="K107" i="14"/>
  <c r="P107" i="14"/>
  <c r="I118" i="14"/>
  <c r="S130" i="14"/>
  <c r="P118" i="14"/>
  <c r="L118" i="14"/>
  <c r="H118" i="14"/>
  <c r="N118" i="14"/>
  <c r="J118" i="14"/>
  <c r="F118" i="14"/>
  <c r="M118" i="14"/>
  <c r="I124" i="14"/>
  <c r="M124" i="14"/>
  <c r="Q124" i="14"/>
  <c r="N126" i="14"/>
  <c r="J126" i="14"/>
  <c r="F126" i="14"/>
  <c r="K126" i="14"/>
  <c r="P126" i="14"/>
  <c r="J127" i="14"/>
  <c r="O127" i="14"/>
  <c r="N128" i="14"/>
  <c r="J128" i="14"/>
  <c r="F128" i="14"/>
  <c r="K128" i="14"/>
  <c r="P128" i="14"/>
  <c r="N138" i="14"/>
  <c r="J138" i="14"/>
  <c r="F138" i="14"/>
  <c r="K138" i="14"/>
  <c r="P138" i="14"/>
  <c r="AC143" i="14"/>
  <c r="Y143" i="14"/>
  <c r="U143" i="14"/>
  <c r="AA143" i="14"/>
  <c r="W143" i="14"/>
  <c r="S143" i="14"/>
  <c r="Z143" i="14"/>
  <c r="I108" i="14"/>
  <c r="M108" i="14"/>
  <c r="G124" i="14"/>
  <c r="K124" i="14"/>
  <c r="H126" i="14"/>
  <c r="M126" i="14"/>
  <c r="G127" i="14"/>
  <c r="P127" i="14"/>
  <c r="L127" i="14"/>
  <c r="H127" i="14"/>
  <c r="H128" i="14"/>
  <c r="M128" i="14"/>
  <c r="H138" i="14"/>
  <c r="M138" i="14"/>
  <c r="N141" i="14"/>
  <c r="J141" i="14"/>
  <c r="F141" i="14"/>
  <c r="P141" i="14"/>
  <c r="L141" i="14"/>
  <c r="H141" i="14"/>
  <c r="M141" i="14"/>
  <c r="V143" i="14"/>
  <c r="AD143" i="14"/>
  <c r="O150" i="14"/>
  <c r="K150" i="14"/>
  <c r="G150" i="14"/>
  <c r="Q150" i="14"/>
  <c r="L150" i="14"/>
  <c r="F150" i="14"/>
  <c r="N150" i="14"/>
  <c r="I150" i="14"/>
  <c r="P150" i="14"/>
  <c r="S129" i="14"/>
  <c r="I130" i="14"/>
  <c r="M130" i="14"/>
  <c r="I139" i="14"/>
  <c r="M139" i="14"/>
  <c r="G142" i="14"/>
  <c r="K142" i="14"/>
  <c r="O142" i="14"/>
  <c r="G149" i="14"/>
  <c r="N151" i="14"/>
  <c r="J151" i="14"/>
  <c r="F151" i="14"/>
  <c r="K151" i="14"/>
  <c r="P151" i="14"/>
  <c r="G153" i="14"/>
  <c r="G163" i="14"/>
  <c r="I142" i="14"/>
  <c r="M142" i="14"/>
  <c r="P149" i="14"/>
  <c r="L149" i="14"/>
  <c r="H149" i="14"/>
  <c r="J149" i="14"/>
  <c r="O149" i="14"/>
  <c r="P153" i="14"/>
  <c r="L153" i="14"/>
  <c r="H153" i="14"/>
  <c r="J153" i="14"/>
  <c r="O153" i="14"/>
  <c r="P163" i="14"/>
  <c r="P164" i="14" s="1"/>
  <c r="L163" i="14"/>
  <c r="L164" i="14" s="1"/>
  <c r="H163" i="14"/>
  <c r="J163" i="14"/>
  <c r="J164" i="14" s="1"/>
  <c r="O163" i="14"/>
  <c r="O164" i="14" s="1"/>
  <c r="I152" i="14"/>
  <c r="M152" i="14"/>
  <c r="K21" i="13"/>
  <c r="K22" i="13" s="1"/>
  <c r="H22" i="13"/>
  <c r="H21" i="13"/>
  <c r="R26" i="13"/>
  <c r="R30" i="13" s="1"/>
  <c r="R31" i="13" s="1"/>
  <c r="Q31" i="13" s="1"/>
  <c r="AD31" i="13" s="1"/>
  <c r="O21" i="13"/>
  <c r="O22" i="13" s="1"/>
  <c r="N22" i="13"/>
  <c r="U16" i="13"/>
  <c r="Z16" i="13"/>
  <c r="S47" i="13"/>
  <c r="L61" i="13"/>
  <c r="T107" i="13"/>
  <c r="S107" i="13"/>
  <c r="U107" i="13"/>
  <c r="V16" i="13"/>
  <c r="AB16" i="13"/>
  <c r="S18" i="13"/>
  <c r="X18" i="13"/>
  <c r="N20" i="13"/>
  <c r="J20" i="13"/>
  <c r="F20" i="13"/>
  <c r="K20" i="13"/>
  <c r="P20" i="13"/>
  <c r="Q41" i="13"/>
  <c r="T36" i="13"/>
  <c r="AD36" i="13"/>
  <c r="N56" i="13"/>
  <c r="Y76" i="13"/>
  <c r="X16" i="13"/>
  <c r="AC16" i="13"/>
  <c r="S17" i="13"/>
  <c r="I18" i="13"/>
  <c r="AA18" i="13" s="1"/>
  <c r="T18" i="13"/>
  <c r="O19" i="13"/>
  <c r="K19" i="13"/>
  <c r="G19" i="13"/>
  <c r="G21" i="13" s="1"/>
  <c r="G22" i="13" s="1"/>
  <c r="J19" i="13"/>
  <c r="P19" i="13"/>
  <c r="G20" i="13"/>
  <c r="L20" i="13"/>
  <c r="Q20" i="13"/>
  <c r="Q21" i="13" s="1"/>
  <c r="Q22" i="13" s="1"/>
  <c r="S36" i="13"/>
  <c r="AA36" i="13"/>
  <c r="S53" i="13"/>
  <c r="Q56" i="13"/>
  <c r="T59" i="13"/>
  <c r="V59" i="13"/>
  <c r="U59" i="13"/>
  <c r="S59" i="13"/>
  <c r="AB90" i="13"/>
  <c r="N141" i="13"/>
  <c r="J141" i="13"/>
  <c r="F141" i="13"/>
  <c r="O141" i="13"/>
  <c r="I141" i="13"/>
  <c r="M141" i="13"/>
  <c r="H141" i="13"/>
  <c r="Q141" i="13"/>
  <c r="L141" i="13"/>
  <c r="G141" i="13"/>
  <c r="P141" i="13"/>
  <c r="K141" i="13"/>
  <c r="N50" i="13"/>
  <c r="T88" i="13"/>
  <c r="V88" i="13"/>
  <c r="S88" i="13"/>
  <c r="F21" i="13"/>
  <c r="F22" i="13" s="1"/>
  <c r="N21" i="13"/>
  <c r="T16" i="13"/>
  <c r="Y16" i="13"/>
  <c r="T17" i="13"/>
  <c r="P18" i="13"/>
  <c r="P21" i="13" s="1"/>
  <c r="P22" i="13" s="1"/>
  <c r="L18" i="13"/>
  <c r="L21" i="13" s="1"/>
  <c r="L22" i="13" s="1"/>
  <c r="H18" i="13"/>
  <c r="U18" i="13" s="1"/>
  <c r="J18" i="13"/>
  <c r="J21" i="13" s="1"/>
  <c r="J22" i="13" s="1"/>
  <c r="O18" i="13"/>
  <c r="V18" i="13"/>
  <c r="T19" i="13"/>
  <c r="H20" i="13"/>
  <c r="M20" i="13"/>
  <c r="P35" i="13"/>
  <c r="P41" i="13" s="1"/>
  <c r="L35" i="13"/>
  <c r="L41" i="13" s="1"/>
  <c r="H35" i="13"/>
  <c r="H41" i="13" s="1"/>
  <c r="N35" i="13"/>
  <c r="N41" i="13" s="1"/>
  <c r="J35" i="13"/>
  <c r="J41" i="13" s="1"/>
  <c r="F35" i="13"/>
  <c r="M35" i="13"/>
  <c r="U36" i="13"/>
  <c r="AA39" i="13"/>
  <c r="W39" i="13"/>
  <c r="AD39" i="13"/>
  <c r="Z39" i="13"/>
  <c r="V39" i="13"/>
  <c r="AC39" i="13"/>
  <c r="Y39" i="13"/>
  <c r="U39" i="13"/>
  <c r="T40" i="13"/>
  <c r="R82" i="13"/>
  <c r="R50" i="13"/>
  <c r="Q47" i="13"/>
  <c r="M47" i="13"/>
  <c r="I47" i="13"/>
  <c r="AC47" i="13" s="1"/>
  <c r="P47" i="13"/>
  <c r="L47" i="13"/>
  <c r="H47" i="13"/>
  <c r="O47" i="13"/>
  <c r="O50" i="13" s="1"/>
  <c r="K47" i="13"/>
  <c r="K50" i="13" s="1"/>
  <c r="G47" i="13"/>
  <c r="G50" i="13" s="1"/>
  <c r="X70" i="13"/>
  <c r="U70" i="13"/>
  <c r="T70" i="13"/>
  <c r="P87" i="13"/>
  <c r="L87" i="13"/>
  <c r="H87" i="13"/>
  <c r="N87" i="13"/>
  <c r="I87" i="13"/>
  <c r="Q87" i="13"/>
  <c r="J87" i="13"/>
  <c r="O87" i="13"/>
  <c r="G87" i="13"/>
  <c r="M87" i="13"/>
  <c r="F87" i="13"/>
  <c r="U88" i="13"/>
  <c r="U95" i="13"/>
  <c r="T95" i="13"/>
  <c r="S95" i="13"/>
  <c r="S16" i="13"/>
  <c r="W16" i="13"/>
  <c r="AA16" i="13"/>
  <c r="I17" i="13"/>
  <c r="AA17" i="13" s="1"/>
  <c r="M17" i="13"/>
  <c r="I36" i="13"/>
  <c r="W36" i="13" s="1"/>
  <c r="M36" i="13"/>
  <c r="G38" i="13"/>
  <c r="W38" i="13" s="1"/>
  <c r="K38" i="13"/>
  <c r="K41" i="13" s="1"/>
  <c r="O38" i="13"/>
  <c r="O41" i="13" s="1"/>
  <c r="O82" i="13" s="1"/>
  <c r="G40" i="13"/>
  <c r="Z40" i="13" s="1"/>
  <c r="K40" i="13"/>
  <c r="O40" i="13"/>
  <c r="I43" i="13"/>
  <c r="AC43" i="13" s="1"/>
  <c r="M43" i="13"/>
  <c r="V43" i="13"/>
  <c r="AD43" i="13"/>
  <c r="H46" i="13"/>
  <c r="L46" i="13"/>
  <c r="L50" i="13" s="1"/>
  <c r="P46" i="13"/>
  <c r="I48" i="13"/>
  <c r="AC48" i="13" s="1"/>
  <c r="M48" i="13"/>
  <c r="V48" i="13"/>
  <c r="AD48" i="13"/>
  <c r="H49" i="13"/>
  <c r="L49" i="13"/>
  <c r="P49" i="13"/>
  <c r="H53" i="13"/>
  <c r="H56" i="13" s="1"/>
  <c r="I54" i="13"/>
  <c r="U55" i="13"/>
  <c r="H59" i="13"/>
  <c r="H61" i="13" s="1"/>
  <c r="I60" i="13"/>
  <c r="I61" i="13" s="1"/>
  <c r="K63" i="13"/>
  <c r="O74" i="13"/>
  <c r="O81" i="13" s="1"/>
  <c r="K74" i="13"/>
  <c r="G74" i="13"/>
  <c r="T74" i="13" s="1"/>
  <c r="N74" i="13"/>
  <c r="I74" i="13"/>
  <c r="L74" i="13"/>
  <c r="L81" i="13" s="1"/>
  <c r="S74" i="13"/>
  <c r="O78" i="13"/>
  <c r="K78" i="13"/>
  <c r="G78" i="13"/>
  <c r="Q78" i="13"/>
  <c r="Q81" i="13" s="1"/>
  <c r="L78" i="13"/>
  <c r="F78" i="13"/>
  <c r="M78" i="13"/>
  <c r="I79" i="13"/>
  <c r="P79" i="13"/>
  <c r="W80" i="13"/>
  <c r="Z90" i="13"/>
  <c r="S90" i="13"/>
  <c r="H94" i="13"/>
  <c r="H96" i="13" s="1"/>
  <c r="N94" i="13"/>
  <c r="N96" i="13" s="1"/>
  <c r="N99" i="13"/>
  <c r="N101" i="13" s="1"/>
  <c r="I99" i="13"/>
  <c r="I101" i="13" s="1"/>
  <c r="M99" i="13"/>
  <c r="M101" i="13" s="1"/>
  <c r="H99" i="13"/>
  <c r="H101" i="13" s="1"/>
  <c r="P99" i="13"/>
  <c r="P101" i="13" s="1"/>
  <c r="AC100" i="13"/>
  <c r="X100" i="13"/>
  <c r="AB100" i="13"/>
  <c r="V100" i="13"/>
  <c r="U100" i="13"/>
  <c r="S114" i="13"/>
  <c r="S43" i="13"/>
  <c r="AA43" i="13"/>
  <c r="I46" i="13"/>
  <c r="M46" i="13"/>
  <c r="Q46" i="13"/>
  <c r="S48" i="13"/>
  <c r="AA48" i="13"/>
  <c r="I49" i="13"/>
  <c r="M49" i="13"/>
  <c r="Q49" i="13"/>
  <c r="N54" i="13"/>
  <c r="J54" i="13"/>
  <c r="F54" i="13"/>
  <c r="K54" i="13"/>
  <c r="P54" i="13"/>
  <c r="N60" i="13"/>
  <c r="N61" i="13" s="1"/>
  <c r="J60" i="13"/>
  <c r="F60" i="13"/>
  <c r="K60" i="13"/>
  <c r="P60" i="13"/>
  <c r="N63" i="13"/>
  <c r="J63" i="13"/>
  <c r="F63" i="13"/>
  <c r="M63" i="13"/>
  <c r="H63" i="13"/>
  <c r="L63" i="13"/>
  <c r="I71" i="13"/>
  <c r="X74" i="13"/>
  <c r="U74" i="13"/>
  <c r="K79" i="13"/>
  <c r="Y80" i="13"/>
  <c r="T80" i="13"/>
  <c r="X80" i="13"/>
  <c r="N89" i="13"/>
  <c r="J89" i="13"/>
  <c r="F89" i="13"/>
  <c r="Q89" i="13"/>
  <c r="L89" i="13"/>
  <c r="G89" i="13"/>
  <c r="M89" i="13"/>
  <c r="I94" i="13"/>
  <c r="N110" i="13"/>
  <c r="N106" i="13"/>
  <c r="J106" i="13"/>
  <c r="F106" i="13"/>
  <c r="F110" i="13" s="1"/>
  <c r="M106" i="13"/>
  <c r="M110" i="13" s="1"/>
  <c r="H106" i="13"/>
  <c r="Q106" i="13"/>
  <c r="Q110" i="13" s="1"/>
  <c r="L106" i="13"/>
  <c r="G106" i="13"/>
  <c r="G110" i="13" s="1"/>
  <c r="P106" i="13"/>
  <c r="U108" i="13"/>
  <c r="V108" i="13"/>
  <c r="T108" i="13"/>
  <c r="I38" i="13"/>
  <c r="M38" i="13"/>
  <c r="I40" i="13"/>
  <c r="V40" i="13" s="1"/>
  <c r="M40" i="13"/>
  <c r="T43" i="13"/>
  <c r="F46" i="13"/>
  <c r="J46" i="13"/>
  <c r="T48" i="13"/>
  <c r="F49" i="13"/>
  <c r="J49" i="13"/>
  <c r="O53" i="13"/>
  <c r="O56" i="13" s="1"/>
  <c r="K53" i="13"/>
  <c r="G53" i="13"/>
  <c r="J53" i="13"/>
  <c r="P53" i="13"/>
  <c r="P56" i="13" s="1"/>
  <c r="G54" i="13"/>
  <c r="L54" i="13"/>
  <c r="L56" i="13" s="1"/>
  <c r="Q54" i="13"/>
  <c r="S55" i="13"/>
  <c r="O59" i="13"/>
  <c r="O61" i="13" s="1"/>
  <c r="K59" i="13"/>
  <c r="K61" i="13" s="1"/>
  <c r="G59" i="13"/>
  <c r="X59" i="13" s="1"/>
  <c r="J59" i="13"/>
  <c r="J61" i="13" s="1"/>
  <c r="P59" i="13"/>
  <c r="G60" i="13"/>
  <c r="L60" i="13"/>
  <c r="Q60" i="13"/>
  <c r="Q61" i="13" s="1"/>
  <c r="G63" i="13"/>
  <c r="O63" i="13"/>
  <c r="N79" i="13"/>
  <c r="J79" i="13"/>
  <c r="F79" i="13"/>
  <c r="M79" i="13"/>
  <c r="H79" i="13"/>
  <c r="H81" i="13" s="1"/>
  <c r="L79" i="13"/>
  <c r="U90" i="13"/>
  <c r="O94" i="13"/>
  <c r="O96" i="13" s="1"/>
  <c r="K94" i="13"/>
  <c r="K96" i="13" s="1"/>
  <c r="G94" i="13"/>
  <c r="G96" i="13" s="1"/>
  <c r="R96" i="13"/>
  <c r="P94" i="13"/>
  <c r="P96" i="13" s="1"/>
  <c r="J94" i="13"/>
  <c r="J96" i="13" s="1"/>
  <c r="U104" i="13"/>
  <c r="T104" i="13"/>
  <c r="P123" i="13"/>
  <c r="L123" i="13"/>
  <c r="L132" i="13" s="1"/>
  <c r="H123" i="13"/>
  <c r="H132" i="13" s="1"/>
  <c r="O123" i="13"/>
  <c r="O132" i="13" s="1"/>
  <c r="J123" i="13"/>
  <c r="M123" i="13"/>
  <c r="G123" i="13"/>
  <c r="K123" i="13"/>
  <c r="I123" i="13"/>
  <c r="R132" i="13"/>
  <c r="Q123" i="13"/>
  <c r="Q132" i="13" s="1"/>
  <c r="F123" i="13"/>
  <c r="I55" i="13"/>
  <c r="AA55" i="13" s="1"/>
  <c r="M55" i="13"/>
  <c r="M56" i="13" s="1"/>
  <c r="N69" i="13"/>
  <c r="N71" i="13" s="1"/>
  <c r="J69" i="13"/>
  <c r="J71" i="13" s="1"/>
  <c r="F69" i="13"/>
  <c r="K69" i="13"/>
  <c r="K71" i="13" s="1"/>
  <c r="P69" i="13"/>
  <c r="P71" i="13" s="1"/>
  <c r="V70" i="13"/>
  <c r="N75" i="13"/>
  <c r="J75" i="13"/>
  <c r="J81" i="13" s="1"/>
  <c r="F75" i="13"/>
  <c r="K75" i="13"/>
  <c r="P75" i="13"/>
  <c r="P81" i="13" s="1"/>
  <c r="AD76" i="13"/>
  <c r="V76" i="13"/>
  <c r="W76" i="13"/>
  <c r="AB76" i="13"/>
  <c r="O88" i="13"/>
  <c r="K88" i="13"/>
  <c r="G88" i="13"/>
  <c r="X88" i="13" s="1"/>
  <c r="J88" i="13"/>
  <c r="AB88" i="13" s="1"/>
  <c r="P88" i="13"/>
  <c r="R101" i="13"/>
  <c r="O99" i="13"/>
  <c r="O101" i="13" s="1"/>
  <c r="K99" i="13"/>
  <c r="K101" i="13" s="1"/>
  <c r="G99" i="13"/>
  <c r="I104" i="13"/>
  <c r="O105" i="13"/>
  <c r="K105" i="13"/>
  <c r="K110" i="13" s="1"/>
  <c r="G105" i="13"/>
  <c r="J105" i="13"/>
  <c r="W105" i="13" s="1"/>
  <c r="P105" i="13"/>
  <c r="V105" i="13"/>
  <c r="I108" i="13"/>
  <c r="O109" i="13"/>
  <c r="K109" i="13"/>
  <c r="G109" i="13"/>
  <c r="J109" i="13"/>
  <c r="P109" i="13"/>
  <c r="Q113" i="13"/>
  <c r="M113" i="13"/>
  <c r="I113" i="13"/>
  <c r="H114" i="13"/>
  <c r="U114" i="13" s="1"/>
  <c r="M114" i="13"/>
  <c r="J118" i="13"/>
  <c r="AB126" i="13"/>
  <c r="T126" i="13"/>
  <c r="W126" i="13"/>
  <c r="V126" i="13"/>
  <c r="U126" i="13"/>
  <c r="S126" i="13"/>
  <c r="O139" i="13"/>
  <c r="K139" i="13"/>
  <c r="G139" i="13"/>
  <c r="G144" i="13" s="1"/>
  <c r="N139" i="13"/>
  <c r="N144" i="13" s="1"/>
  <c r="N156" i="13" s="1"/>
  <c r="I139" i="13"/>
  <c r="M139" i="13"/>
  <c r="H139" i="13"/>
  <c r="Q139" i="13"/>
  <c r="L139" i="13"/>
  <c r="F139" i="13"/>
  <c r="O154" i="13"/>
  <c r="K154" i="13"/>
  <c r="G154" i="13"/>
  <c r="N154" i="13"/>
  <c r="I154" i="13"/>
  <c r="M154" i="13"/>
  <c r="H154" i="13"/>
  <c r="Q154" i="13"/>
  <c r="L154" i="13"/>
  <c r="F154" i="13"/>
  <c r="P154" i="13"/>
  <c r="J154" i="13"/>
  <c r="P104" i="13"/>
  <c r="L104" i="13"/>
  <c r="L110" i="13" s="1"/>
  <c r="H104" i="13"/>
  <c r="J104" i="13"/>
  <c r="O104" i="13"/>
  <c r="AB105" i="13"/>
  <c r="T105" i="13"/>
  <c r="AC105" i="13"/>
  <c r="P108" i="13"/>
  <c r="L108" i="13"/>
  <c r="H108" i="13"/>
  <c r="AA108" i="13" s="1"/>
  <c r="J108" i="13"/>
  <c r="AD108" i="13" s="1"/>
  <c r="O108" i="13"/>
  <c r="T109" i="13"/>
  <c r="I114" i="13"/>
  <c r="O118" i="13"/>
  <c r="K118" i="13"/>
  <c r="G118" i="13"/>
  <c r="U118" i="13" s="1"/>
  <c r="N118" i="13"/>
  <c r="I118" i="13"/>
  <c r="L118" i="13"/>
  <c r="S118" i="13"/>
  <c r="AC129" i="13"/>
  <c r="Y129" i="13"/>
  <c r="U129" i="13"/>
  <c r="AB129" i="13"/>
  <c r="W129" i="13"/>
  <c r="AA129" i="13"/>
  <c r="V129" i="13"/>
  <c r="Z129" i="13"/>
  <c r="T129" i="13"/>
  <c r="S129" i="13"/>
  <c r="O144" i="13"/>
  <c r="AA142" i="13"/>
  <c r="U142" i="13"/>
  <c r="T142" i="13"/>
  <c r="AC142" i="13"/>
  <c r="S142" i="13"/>
  <c r="O114" i="13"/>
  <c r="K114" i="13"/>
  <c r="G114" i="13"/>
  <c r="T114" i="13" s="1"/>
  <c r="J114" i="13"/>
  <c r="P114" i="13"/>
  <c r="T122" i="13"/>
  <c r="X129" i="13"/>
  <c r="AD131" i="13"/>
  <c r="Z131" i="13"/>
  <c r="V131" i="13"/>
  <c r="Y131" i="13"/>
  <c r="T131" i="13"/>
  <c r="AC131" i="13"/>
  <c r="X131" i="13"/>
  <c r="S131" i="13"/>
  <c r="AB131" i="13"/>
  <c r="W131" i="13"/>
  <c r="W142" i="13"/>
  <c r="I70" i="13"/>
  <c r="Y70" i="13" s="1"/>
  <c r="M70" i="13"/>
  <c r="M71" i="13" s="1"/>
  <c r="I76" i="13"/>
  <c r="M76" i="13"/>
  <c r="M81" i="13" s="1"/>
  <c r="I80" i="13"/>
  <c r="AC80" i="13" s="1"/>
  <c r="M80" i="13"/>
  <c r="Z80" i="13" s="1"/>
  <c r="I90" i="13"/>
  <c r="W90" i="13" s="1"/>
  <c r="M90" i="13"/>
  <c r="I95" i="13"/>
  <c r="X95" i="13" s="1"/>
  <c r="M95" i="13"/>
  <c r="S100" i="13"/>
  <c r="W100" i="13"/>
  <c r="I107" i="13"/>
  <c r="V107" i="13" s="1"/>
  <c r="M107" i="13"/>
  <c r="R115" i="13"/>
  <c r="H124" i="13"/>
  <c r="T125" i="13"/>
  <c r="J126" i="13"/>
  <c r="N127" i="13"/>
  <c r="J127" i="13"/>
  <c r="F127" i="13"/>
  <c r="K127" i="13"/>
  <c r="P127" i="13"/>
  <c r="P128" i="13"/>
  <c r="L128" i="13"/>
  <c r="H128" i="13"/>
  <c r="Z128" i="13" s="1"/>
  <c r="J128" i="13"/>
  <c r="O128" i="13"/>
  <c r="AD128" i="13" s="1"/>
  <c r="O130" i="13"/>
  <c r="K130" i="13"/>
  <c r="G130" i="13"/>
  <c r="W130" i="13" s="1"/>
  <c r="J130" i="13"/>
  <c r="P130" i="13"/>
  <c r="H144" i="13"/>
  <c r="T137" i="13"/>
  <c r="P138" i="13"/>
  <c r="P144" i="13" s="1"/>
  <c r="L138" i="13"/>
  <c r="AA138" i="13" s="1"/>
  <c r="H138" i="13"/>
  <c r="J138" i="13"/>
  <c r="J144" i="13" s="1"/>
  <c r="J156" i="13" s="1"/>
  <c r="O138" i="13"/>
  <c r="V138" i="13"/>
  <c r="V140" i="13"/>
  <c r="AA140" i="13"/>
  <c r="V143" i="13"/>
  <c r="R156" i="13"/>
  <c r="AA147" i="13"/>
  <c r="Y148" i="13"/>
  <c r="T148" i="13"/>
  <c r="AA148" i="13"/>
  <c r="V149" i="13"/>
  <c r="T149" i="13"/>
  <c r="I150" i="13"/>
  <c r="P150" i="13"/>
  <c r="P155" i="13" s="1"/>
  <c r="Y128" i="13"/>
  <c r="W128" i="13"/>
  <c r="T130" i="13"/>
  <c r="U137" i="13"/>
  <c r="AC138" i="13"/>
  <c r="U138" i="13"/>
  <c r="AB138" i="13"/>
  <c r="W140" i="13"/>
  <c r="AC143" i="13"/>
  <c r="Y143" i="13"/>
  <c r="U143" i="13"/>
  <c r="W143" i="13"/>
  <c r="AB143" i="13"/>
  <c r="AC147" i="13"/>
  <c r="X147" i="13"/>
  <c r="AB147" i="13"/>
  <c r="N155" i="13"/>
  <c r="AD161" i="13"/>
  <c r="Z161" i="13"/>
  <c r="V161" i="13"/>
  <c r="AB161" i="13"/>
  <c r="W161" i="13"/>
  <c r="AA161" i="13"/>
  <c r="U161" i="13"/>
  <c r="Y161" i="13"/>
  <c r="N124" i="13"/>
  <c r="N132" i="13" s="1"/>
  <c r="J124" i="13"/>
  <c r="F124" i="13"/>
  <c r="K124" i="13"/>
  <c r="P124" i="13"/>
  <c r="AD125" i="13"/>
  <c r="AB125" i="13"/>
  <c r="P126" i="13"/>
  <c r="L126" i="13"/>
  <c r="H126" i="13"/>
  <c r="X126" i="13" s="1"/>
  <c r="S128" i="13"/>
  <c r="S130" i="13"/>
  <c r="Y130" i="13"/>
  <c r="S138" i="13"/>
  <c r="AB140" i="13"/>
  <c r="X140" i="13"/>
  <c r="T140" i="13"/>
  <c r="S140" i="13"/>
  <c r="Y140" i="13"/>
  <c r="AD140" i="13"/>
  <c r="S143" i="13"/>
  <c r="X143" i="13"/>
  <c r="AD143" i="13"/>
  <c r="L155" i="13"/>
  <c r="V147" i="13"/>
  <c r="AD147" i="13"/>
  <c r="AC148" i="13"/>
  <c r="O150" i="13"/>
  <c r="K150" i="13"/>
  <c r="G150" i="13"/>
  <c r="G155" i="13" s="1"/>
  <c r="Q150" i="13"/>
  <c r="Q155" i="13" s="1"/>
  <c r="L150" i="13"/>
  <c r="F150" i="13"/>
  <c r="M150" i="13"/>
  <c r="M155" i="13" s="1"/>
  <c r="U152" i="13"/>
  <c r="I122" i="13"/>
  <c r="M122" i="13"/>
  <c r="I125" i="13"/>
  <c r="AA125" i="13" s="1"/>
  <c r="M125" i="13"/>
  <c r="I137" i="13"/>
  <c r="I144" i="13" s="1"/>
  <c r="M137" i="13"/>
  <c r="I142" i="13"/>
  <c r="AB142" i="13" s="1"/>
  <c r="M142" i="13"/>
  <c r="P149" i="13"/>
  <c r="L149" i="13"/>
  <c r="H149" i="13"/>
  <c r="U149" i="13" s="1"/>
  <c r="J149" i="13"/>
  <c r="J155" i="13" s="1"/>
  <c r="O149" i="13"/>
  <c r="H151" i="13"/>
  <c r="T152" i="13"/>
  <c r="P153" i="13"/>
  <c r="L153" i="13"/>
  <c r="H153" i="13"/>
  <c r="Z153" i="13" s="1"/>
  <c r="J153" i="13"/>
  <c r="O153" i="13"/>
  <c r="O155" i="13" s="1"/>
  <c r="Y153" i="13"/>
  <c r="W153" i="13"/>
  <c r="N151" i="13"/>
  <c r="J151" i="13"/>
  <c r="F151" i="13"/>
  <c r="K151" i="13"/>
  <c r="K155" i="13" s="1"/>
  <c r="P151" i="13"/>
  <c r="V152" i="13"/>
  <c r="S153" i="13"/>
  <c r="X153" i="13"/>
  <c r="S147" i="13"/>
  <c r="W147" i="13"/>
  <c r="V148" i="13"/>
  <c r="Z148" i="13"/>
  <c r="I152" i="13"/>
  <c r="X152" i="13" s="1"/>
  <c r="M152" i="13"/>
  <c r="H163" i="13"/>
  <c r="H164" i="13" s="1"/>
  <c r="L163" i="13"/>
  <c r="L164" i="13" s="1"/>
  <c r="P163" i="13"/>
  <c r="P164" i="13" s="1"/>
  <c r="I163" i="13"/>
  <c r="I164" i="13" s="1"/>
  <c r="M163" i="13"/>
  <c r="M164" i="13" s="1"/>
  <c r="Q163" i="13"/>
  <c r="Q164" i="13" s="1"/>
  <c r="F163" i="13"/>
  <c r="J163" i="13"/>
  <c r="J164" i="13" s="1"/>
  <c r="M167" i="1"/>
  <c r="Q61" i="14" l="1"/>
  <c r="F122" i="14"/>
  <c r="S122" i="14" s="1"/>
  <c r="K61" i="14"/>
  <c r="T78" i="14"/>
  <c r="U46" i="14"/>
  <c r="T18" i="14"/>
  <c r="J61" i="14"/>
  <c r="S94" i="13"/>
  <c r="T113" i="13"/>
  <c r="R132" i="14"/>
  <c r="H61" i="14"/>
  <c r="N164" i="14"/>
  <c r="T100" i="14"/>
  <c r="L56" i="14"/>
  <c r="K164" i="14"/>
  <c r="S100" i="14"/>
  <c r="X140" i="14"/>
  <c r="T80" i="14"/>
  <c r="S163" i="14"/>
  <c r="S164" i="14" s="1"/>
  <c r="U130" i="14"/>
  <c r="AC131" i="14"/>
  <c r="T106" i="14"/>
  <c r="X118" i="13"/>
  <c r="AC118" i="13"/>
  <c r="S96" i="13"/>
  <c r="AB114" i="13"/>
  <c r="W129" i="14"/>
  <c r="T76" i="14"/>
  <c r="J56" i="14"/>
  <c r="AB148" i="14"/>
  <c r="AA114" i="13"/>
  <c r="U113" i="13"/>
  <c r="V95" i="14"/>
  <c r="AA161" i="14"/>
  <c r="H71" i="14"/>
  <c r="O50" i="14"/>
  <c r="T108" i="14"/>
  <c r="T55" i="14"/>
  <c r="Y100" i="14"/>
  <c r="Z100" i="14"/>
  <c r="U100" i="14"/>
  <c r="J122" i="14"/>
  <c r="AC66" i="14"/>
  <c r="AD147" i="14"/>
  <c r="K122" i="14"/>
  <c r="K132" i="14" s="1"/>
  <c r="W100" i="14"/>
  <c r="V100" i="14"/>
  <c r="I122" i="14"/>
  <c r="I132" i="14" s="1"/>
  <c r="H122" i="14"/>
  <c r="H132" i="14" s="1"/>
  <c r="AB100" i="14"/>
  <c r="U77" i="14"/>
  <c r="V16" i="14"/>
  <c r="U55" i="14"/>
  <c r="V39" i="14"/>
  <c r="AB39" i="14"/>
  <c r="U39" i="14"/>
  <c r="Z39" i="14"/>
  <c r="S99" i="13"/>
  <c r="S101" i="13" s="1"/>
  <c r="X129" i="14"/>
  <c r="AD131" i="14"/>
  <c r="Z131" i="14"/>
  <c r="V35" i="14"/>
  <c r="Y129" i="14"/>
  <c r="N56" i="14"/>
  <c r="U18" i="14"/>
  <c r="AA129" i="14"/>
  <c r="Y77" i="14"/>
  <c r="AD77" i="14"/>
  <c r="AA140" i="14"/>
  <c r="Y78" i="14"/>
  <c r="Y16" i="14"/>
  <c r="T99" i="13"/>
  <c r="T101" i="13" s="1"/>
  <c r="T152" i="14"/>
  <c r="T139" i="14"/>
  <c r="S140" i="14"/>
  <c r="Z129" i="14"/>
  <c r="U148" i="14"/>
  <c r="Q122" i="14"/>
  <c r="Q132" i="14" s="1"/>
  <c r="X106" i="14"/>
  <c r="G21" i="14"/>
  <c r="G22" i="14" s="1"/>
  <c r="AA131" i="14"/>
  <c r="T131" i="14"/>
  <c r="AD100" i="14"/>
  <c r="V161" i="14"/>
  <c r="G122" i="14"/>
  <c r="L122" i="14"/>
  <c r="L132" i="14" s="1"/>
  <c r="N122" i="14"/>
  <c r="N132" i="14" s="1"/>
  <c r="L61" i="14"/>
  <c r="P56" i="14"/>
  <c r="X147" i="14"/>
  <c r="X77" i="14"/>
  <c r="AC77" i="14"/>
  <c r="W77" i="14"/>
  <c r="M96" i="13"/>
  <c r="W147" i="14"/>
  <c r="AB78" i="14"/>
  <c r="K56" i="14"/>
  <c r="L50" i="14"/>
  <c r="K41" i="14"/>
  <c r="AB18" i="14"/>
  <c r="W131" i="14"/>
  <c r="X131" i="14"/>
  <c r="AB129" i="14"/>
  <c r="X100" i="14"/>
  <c r="AD161" i="14"/>
  <c r="O122" i="14"/>
  <c r="O132" i="14" s="1"/>
  <c r="P122" i="14"/>
  <c r="P132" i="14" s="1"/>
  <c r="J71" i="14"/>
  <c r="P71" i="14"/>
  <c r="AB77" i="14"/>
  <c r="V77" i="14"/>
  <c r="U152" i="14"/>
  <c r="K50" i="14"/>
  <c r="Y152" i="14"/>
  <c r="AC100" i="14"/>
  <c r="R105" i="14"/>
  <c r="R104" i="14"/>
  <c r="I132" i="13"/>
  <c r="W148" i="14"/>
  <c r="AA100" i="14"/>
  <c r="AC161" i="14"/>
  <c r="U74" i="14"/>
  <c r="AD16" i="14"/>
  <c r="O21" i="14"/>
  <c r="O22" i="14" s="1"/>
  <c r="G50" i="14"/>
  <c r="Z148" i="14"/>
  <c r="T148" i="14"/>
  <c r="Z49" i="14"/>
  <c r="I61" i="14"/>
  <c r="AB161" i="14"/>
  <c r="U78" i="14"/>
  <c r="X16" i="14"/>
  <c r="L41" i="14"/>
  <c r="X148" i="14"/>
  <c r="J132" i="13"/>
  <c r="AC148" i="14"/>
  <c r="T49" i="14"/>
  <c r="AC16" i="14"/>
  <c r="AA16" i="14"/>
  <c r="U49" i="14"/>
  <c r="H21" i="14"/>
  <c r="H22" i="14" s="1"/>
  <c r="AD129" i="14"/>
  <c r="AC129" i="14"/>
  <c r="T127" i="14"/>
  <c r="T123" i="14"/>
  <c r="Y139" i="14"/>
  <c r="U139" i="14"/>
  <c r="U127" i="14"/>
  <c r="Y46" i="14"/>
  <c r="V99" i="13"/>
  <c r="V101" i="13" s="1"/>
  <c r="W99" i="13"/>
  <c r="W101" i="13" s="1"/>
  <c r="V152" i="14"/>
  <c r="S147" i="14"/>
  <c r="P144" i="14"/>
  <c r="AA148" i="14"/>
  <c r="Y148" i="14"/>
  <c r="V108" i="14"/>
  <c r="V78" i="14"/>
  <c r="G56" i="14"/>
  <c r="X161" i="14"/>
  <c r="Y161" i="14"/>
  <c r="Q50" i="14"/>
  <c r="X39" i="14"/>
  <c r="AD39" i="14"/>
  <c r="K21" i="14"/>
  <c r="K22" i="14" s="1"/>
  <c r="S16" i="14"/>
  <c r="T16" i="14"/>
  <c r="L81" i="14"/>
  <c r="H56" i="14"/>
  <c r="U108" i="14"/>
  <c r="AD140" i="14"/>
  <c r="K155" i="14"/>
  <c r="U149" i="14"/>
  <c r="P41" i="14"/>
  <c r="T94" i="13"/>
  <c r="T96" i="13" s="1"/>
  <c r="V148" i="14"/>
  <c r="O155" i="14"/>
  <c r="AA163" i="14"/>
  <c r="AD148" i="14"/>
  <c r="Y147" i="14"/>
  <c r="Z123" i="14"/>
  <c r="AC55" i="14"/>
  <c r="Q56" i="14"/>
  <c r="W161" i="14"/>
  <c r="Z161" i="14"/>
  <c r="AC39" i="14"/>
  <c r="U16" i="14"/>
  <c r="Z16" i="14"/>
  <c r="AB16" i="14"/>
  <c r="P21" i="14"/>
  <c r="P22" i="14" s="1"/>
  <c r="N21" i="14"/>
  <c r="N22" i="14" s="1"/>
  <c r="W16" i="14"/>
  <c r="T147" i="14"/>
  <c r="T74" i="14"/>
  <c r="AB147" i="14"/>
  <c r="R156" i="14"/>
  <c r="Z147" i="14"/>
  <c r="AC147" i="14"/>
  <c r="L155" i="14"/>
  <c r="V147" i="14"/>
  <c r="AA147" i="14"/>
  <c r="Q144" i="14"/>
  <c r="V140" i="14"/>
  <c r="W140" i="14"/>
  <c r="U123" i="14"/>
  <c r="V131" i="14"/>
  <c r="U131" i="14"/>
  <c r="AB131" i="14"/>
  <c r="S131" i="14"/>
  <c r="O81" i="14"/>
  <c r="J81" i="14"/>
  <c r="N81" i="14"/>
  <c r="P81" i="14"/>
  <c r="Z74" i="14"/>
  <c r="V70" i="14"/>
  <c r="X70" i="14"/>
  <c r="G71" i="14"/>
  <c r="M61" i="14"/>
  <c r="O56" i="14"/>
  <c r="R82" i="14"/>
  <c r="H50" i="14"/>
  <c r="N50" i="14"/>
  <c r="Y163" i="14"/>
  <c r="N155" i="14"/>
  <c r="M155" i="14"/>
  <c r="AA153" i="14"/>
  <c r="J155" i="14"/>
  <c r="W152" i="14"/>
  <c r="P155" i="14"/>
  <c r="V149" i="14"/>
  <c r="I155" i="14"/>
  <c r="Q155" i="14"/>
  <c r="V153" i="14"/>
  <c r="AB142" i="14"/>
  <c r="H144" i="14"/>
  <c r="AD142" i="14"/>
  <c r="AC140" i="14"/>
  <c r="Y140" i="14"/>
  <c r="U140" i="14"/>
  <c r="Z140" i="14"/>
  <c r="AB140" i="14"/>
  <c r="J144" i="14"/>
  <c r="AC123" i="14"/>
  <c r="Y130" i="14"/>
  <c r="AA130" i="14"/>
  <c r="Y123" i="14"/>
  <c r="X127" i="14"/>
  <c r="X124" i="14"/>
  <c r="M132" i="14"/>
  <c r="V130" i="14"/>
  <c r="Z108" i="14"/>
  <c r="Y108" i="14"/>
  <c r="Z106" i="14"/>
  <c r="T95" i="14"/>
  <c r="AB95" i="14"/>
  <c r="W80" i="14"/>
  <c r="AD74" i="14"/>
  <c r="W76" i="14"/>
  <c r="Q81" i="14"/>
  <c r="AB80" i="14"/>
  <c r="K81" i="14"/>
  <c r="G81" i="14"/>
  <c r="Q71" i="14"/>
  <c r="AB59" i="14"/>
  <c r="P61" i="14"/>
  <c r="F61" i="14"/>
  <c r="V55" i="14"/>
  <c r="AD55" i="14"/>
  <c r="Y55" i="14"/>
  <c r="W55" i="14"/>
  <c r="X55" i="14"/>
  <c r="V53" i="14"/>
  <c r="X46" i="14"/>
  <c r="W46" i="14"/>
  <c r="V46" i="14"/>
  <c r="J50" i="14"/>
  <c r="T46" i="14"/>
  <c r="O41" i="14"/>
  <c r="M41" i="14"/>
  <c r="N41" i="14"/>
  <c r="AA39" i="14"/>
  <c r="Y39" i="14"/>
  <c r="W39" i="14"/>
  <c r="X35" i="14"/>
  <c r="H41" i="14"/>
  <c r="W35" i="14"/>
  <c r="J41" i="14"/>
  <c r="T35" i="14"/>
  <c r="M21" i="14"/>
  <c r="M22" i="14" s="1"/>
  <c r="AC18" i="14"/>
  <c r="T20" i="14"/>
  <c r="J21" i="14"/>
  <c r="J22" i="14" s="1"/>
  <c r="AB20" i="14"/>
  <c r="W20" i="14"/>
  <c r="Q21" i="14"/>
  <c r="Q22" i="14" s="1"/>
  <c r="L21" i="14"/>
  <c r="L22" i="14" s="1"/>
  <c r="AA141" i="14"/>
  <c r="W141" i="14"/>
  <c r="S141" i="14"/>
  <c r="AC141" i="14"/>
  <c r="Y141" i="14"/>
  <c r="U141" i="14"/>
  <c r="AD141" i="14"/>
  <c r="V141" i="14"/>
  <c r="Z141" i="14"/>
  <c r="T141" i="14"/>
  <c r="AB141" i="14"/>
  <c r="X141" i="14"/>
  <c r="AB153" i="14"/>
  <c r="X142" i="14"/>
  <c r="AD139" i="14"/>
  <c r="Z149" i="14"/>
  <c r="AD149" i="14"/>
  <c r="M50" i="14"/>
  <c r="U90" i="14"/>
  <c r="Z90" i="14"/>
  <c r="H164" i="14"/>
  <c r="AB154" i="14"/>
  <c r="X154" i="14"/>
  <c r="T154" i="14"/>
  <c r="AC154" i="14"/>
  <c r="W154" i="14"/>
  <c r="Z154" i="14"/>
  <c r="U154" i="14"/>
  <c r="AD154" i="14"/>
  <c r="S154" i="14"/>
  <c r="Y154" i="14"/>
  <c r="V154" i="14"/>
  <c r="AA154" i="14"/>
  <c r="I144" i="14"/>
  <c r="Y124" i="14"/>
  <c r="Z124" i="14"/>
  <c r="AB124" i="14"/>
  <c r="X123" i="14"/>
  <c r="Y95" i="14"/>
  <c r="Y76" i="14"/>
  <c r="AD70" i="14"/>
  <c r="V59" i="14"/>
  <c r="X59" i="14"/>
  <c r="AB49" i="14"/>
  <c r="Z20" i="14"/>
  <c r="AC78" i="14"/>
  <c r="Z76" i="14"/>
  <c r="AB76" i="14"/>
  <c r="AC46" i="14"/>
  <c r="AC38" i="14"/>
  <c r="Y38" i="14"/>
  <c r="U38" i="14"/>
  <c r="AA38" i="14"/>
  <c r="W38" i="14"/>
  <c r="S38" i="14"/>
  <c r="X38" i="14"/>
  <c r="AD38" i="14"/>
  <c r="V38" i="14"/>
  <c r="AB38" i="14"/>
  <c r="T38" i="14"/>
  <c r="Z38" i="14"/>
  <c r="AA35" i="14"/>
  <c r="Z18" i="14"/>
  <c r="H81" i="14"/>
  <c r="AD53" i="14"/>
  <c r="AA17" i="14"/>
  <c r="W17" i="14"/>
  <c r="S17" i="14"/>
  <c r="AC17" i="14"/>
  <c r="Y17" i="14"/>
  <c r="U17" i="14"/>
  <c r="AB17" i="14"/>
  <c r="T17" i="14"/>
  <c r="Z17" i="14"/>
  <c r="AD17" i="14"/>
  <c r="X17" i="14"/>
  <c r="V17" i="14"/>
  <c r="V90" i="14"/>
  <c r="AD90" i="14"/>
  <c r="AA48" i="14"/>
  <c r="W48" i="14"/>
  <c r="S48" i="14"/>
  <c r="AC48" i="14"/>
  <c r="Y48" i="14"/>
  <c r="U48" i="14"/>
  <c r="Z48" i="14"/>
  <c r="X48" i="14"/>
  <c r="AD48" i="14"/>
  <c r="V48" i="14"/>
  <c r="AB48" i="14"/>
  <c r="T48" i="14"/>
  <c r="Y35" i="14"/>
  <c r="AC19" i="14"/>
  <c r="Y19" i="14"/>
  <c r="U19" i="14"/>
  <c r="AA19" i="14"/>
  <c r="W19" i="14"/>
  <c r="S19" i="14"/>
  <c r="Z19" i="14"/>
  <c r="X19" i="14"/>
  <c r="T19" i="14"/>
  <c r="AD19" i="14"/>
  <c r="V19" i="14"/>
  <c r="AB19" i="14"/>
  <c r="W106" i="14"/>
  <c r="AC106" i="14"/>
  <c r="AB106" i="14"/>
  <c r="Z78" i="14"/>
  <c r="K71" i="14"/>
  <c r="G164" i="14"/>
  <c r="Z163" i="14"/>
  <c r="T163" i="14"/>
  <c r="T164" i="14" s="1"/>
  <c r="AB149" i="14"/>
  <c r="W149" i="14"/>
  <c r="W163" i="14"/>
  <c r="AB150" i="14"/>
  <c r="X150" i="14"/>
  <c r="T150" i="14"/>
  <c r="AC150" i="14"/>
  <c r="W150" i="14"/>
  <c r="Z150" i="14"/>
  <c r="U150" i="14"/>
  <c r="AA150" i="14"/>
  <c r="V150" i="14"/>
  <c r="Y150" i="14"/>
  <c r="AD150" i="14"/>
  <c r="S150" i="14"/>
  <c r="X163" i="14"/>
  <c r="U163" i="14"/>
  <c r="U164" i="14" s="1"/>
  <c r="W139" i="14"/>
  <c r="X139" i="14"/>
  <c r="AA138" i="14"/>
  <c r="W138" i="14"/>
  <c r="S138" i="14"/>
  <c r="AD138" i="14"/>
  <c r="Y138" i="14"/>
  <c r="T138" i="14"/>
  <c r="AB138" i="14"/>
  <c r="V138" i="14"/>
  <c r="AC138" i="14"/>
  <c r="X138" i="14"/>
  <c r="U138" i="14"/>
  <c r="Z138" i="14"/>
  <c r="AC118" i="14"/>
  <c r="Y118" i="14"/>
  <c r="U118" i="14"/>
  <c r="AA118" i="14"/>
  <c r="W118" i="14"/>
  <c r="S118" i="14"/>
  <c r="AD118" i="14"/>
  <c r="V118" i="14"/>
  <c r="Z118" i="14"/>
  <c r="T118" i="14"/>
  <c r="AB118" i="14"/>
  <c r="X118" i="14"/>
  <c r="T149" i="14"/>
  <c r="F155" i="14"/>
  <c r="Y149" i="14"/>
  <c r="G155" i="14"/>
  <c r="Z130" i="14"/>
  <c r="Z127" i="14"/>
  <c r="AA107" i="14"/>
  <c r="W107" i="14"/>
  <c r="S107" i="14"/>
  <c r="AB107" i="14"/>
  <c r="V107" i="14"/>
  <c r="AD107" i="14"/>
  <c r="X107" i="14"/>
  <c r="Z107" i="14"/>
  <c r="T107" i="14"/>
  <c r="U107" i="14"/>
  <c r="AC107" i="14"/>
  <c r="Y107" i="14"/>
  <c r="AC109" i="14"/>
  <c r="Y109" i="14"/>
  <c r="U109" i="14"/>
  <c r="AA109" i="14"/>
  <c r="W109" i="14"/>
  <c r="S109" i="14"/>
  <c r="X109" i="14"/>
  <c r="AB109" i="14"/>
  <c r="V109" i="14"/>
  <c r="T109" i="14"/>
  <c r="AD109" i="14"/>
  <c r="Z109" i="14"/>
  <c r="U95" i="14"/>
  <c r="Z95" i="14"/>
  <c r="AC95" i="14"/>
  <c r="Y80" i="14"/>
  <c r="AC80" i="14"/>
  <c r="U80" i="14"/>
  <c r="AA76" i="14"/>
  <c r="AC70" i="14"/>
  <c r="U70" i="14"/>
  <c r="Y70" i="14"/>
  <c r="AA70" i="14"/>
  <c r="W49" i="14"/>
  <c r="AA49" i="14"/>
  <c r="I50" i="14"/>
  <c r="AC20" i="14"/>
  <c r="U20" i="14"/>
  <c r="Y20" i="14"/>
  <c r="AA20" i="14"/>
  <c r="W130" i="14"/>
  <c r="AB125" i="14"/>
  <c r="X125" i="14"/>
  <c r="AC125" i="14"/>
  <c r="W125" i="14"/>
  <c r="S125" i="14"/>
  <c r="Z125" i="14"/>
  <c r="U125" i="14"/>
  <c r="AD125" i="14"/>
  <c r="T125" i="14"/>
  <c r="Y125" i="14"/>
  <c r="AA125" i="14"/>
  <c r="V125" i="14"/>
  <c r="Q41" i="14"/>
  <c r="N144" i="14"/>
  <c r="G144" i="14"/>
  <c r="U124" i="14"/>
  <c r="AD124" i="14"/>
  <c r="V123" i="14"/>
  <c r="F132" i="14"/>
  <c r="AD95" i="14"/>
  <c r="X95" i="14"/>
  <c r="W90" i="14"/>
  <c r="AC79" i="14"/>
  <c r="Y79" i="14"/>
  <c r="U79" i="14"/>
  <c r="AA79" i="14"/>
  <c r="W79" i="14"/>
  <c r="S79" i="14"/>
  <c r="AD79" i="14"/>
  <c r="V79" i="14"/>
  <c r="AB79" i="14"/>
  <c r="T79" i="14"/>
  <c r="Z79" i="14"/>
  <c r="X79" i="14"/>
  <c r="W70" i="14"/>
  <c r="T70" i="14"/>
  <c r="I71" i="14"/>
  <c r="Z59" i="14"/>
  <c r="Y49" i="14"/>
  <c r="V49" i="14"/>
  <c r="F21" i="14"/>
  <c r="F22" i="14" s="1"/>
  <c r="AD20" i="14"/>
  <c r="AC89" i="14"/>
  <c r="Y89" i="14"/>
  <c r="U89" i="14"/>
  <c r="AB89" i="14"/>
  <c r="W89" i="14"/>
  <c r="Z89" i="14"/>
  <c r="T89" i="14"/>
  <c r="AD89" i="14"/>
  <c r="S89" i="14"/>
  <c r="AA89" i="14"/>
  <c r="X89" i="14"/>
  <c r="V89" i="14"/>
  <c r="AA87" i="14"/>
  <c r="W87" i="14"/>
  <c r="S87" i="14"/>
  <c r="Z87" i="14"/>
  <c r="U87" i="14"/>
  <c r="AC87" i="14"/>
  <c r="X87" i="14"/>
  <c r="AD87" i="14"/>
  <c r="T87" i="14"/>
  <c r="AB87" i="14"/>
  <c r="Y87" i="14"/>
  <c r="V87" i="14"/>
  <c r="AD76" i="14"/>
  <c r="Z55" i="14"/>
  <c r="AA53" i="14"/>
  <c r="X18" i="14"/>
  <c r="AD18" i="14"/>
  <c r="AC75" i="14"/>
  <c r="Y75" i="14"/>
  <c r="U75" i="14"/>
  <c r="AA75" i="14"/>
  <c r="W75" i="14"/>
  <c r="S75" i="14"/>
  <c r="AB75" i="14"/>
  <c r="T75" i="14"/>
  <c r="Z75" i="14"/>
  <c r="AD75" i="14"/>
  <c r="V75" i="14"/>
  <c r="X75" i="14"/>
  <c r="W53" i="14"/>
  <c r="T53" i="14"/>
  <c r="Z46" i="14"/>
  <c r="AA90" i="14"/>
  <c r="T90" i="14"/>
  <c r="V80" i="14"/>
  <c r="X80" i="14"/>
  <c r="U76" i="14"/>
  <c r="X74" i="14"/>
  <c r="AC63" i="14"/>
  <c r="Y63" i="14"/>
  <c r="U63" i="14"/>
  <c r="AA63" i="14"/>
  <c r="W63" i="14"/>
  <c r="S63" i="14"/>
  <c r="Z63" i="14"/>
  <c r="X63" i="14"/>
  <c r="AB63" i="14"/>
  <c r="T63" i="14"/>
  <c r="AD63" i="14"/>
  <c r="V63" i="14"/>
  <c r="I21" i="14"/>
  <c r="I22" i="14" s="1"/>
  <c r="U106" i="14"/>
  <c r="X78" i="14"/>
  <c r="AD78" i="14"/>
  <c r="AA36" i="14"/>
  <c r="W36" i="14"/>
  <c r="S36" i="14"/>
  <c r="AC36" i="14"/>
  <c r="Y36" i="14"/>
  <c r="U36" i="14"/>
  <c r="AB36" i="14"/>
  <c r="T36" i="14"/>
  <c r="Z36" i="14"/>
  <c r="AD36" i="14"/>
  <c r="X36" i="14"/>
  <c r="V36" i="14"/>
  <c r="Z35" i="14"/>
  <c r="W18" i="14"/>
  <c r="AC49" i="14"/>
  <c r="AA139" i="14"/>
  <c r="AC153" i="14"/>
  <c r="Z153" i="14"/>
  <c r="T153" i="14"/>
  <c r="Z152" i="14"/>
  <c r="AA151" i="14"/>
  <c r="W151" i="14"/>
  <c r="S151" i="14"/>
  <c r="AD151" i="14"/>
  <c r="Y151" i="14"/>
  <c r="T151" i="14"/>
  <c r="AB151" i="14"/>
  <c r="V151" i="14"/>
  <c r="Z151" i="14"/>
  <c r="U151" i="14"/>
  <c r="X151" i="14"/>
  <c r="AC151" i="14"/>
  <c r="AC142" i="14"/>
  <c r="U142" i="14"/>
  <c r="Y142" i="14"/>
  <c r="W153" i="14"/>
  <c r="AA142" i="14"/>
  <c r="AD127" i="14"/>
  <c r="AA127" i="14"/>
  <c r="V127" i="14"/>
  <c r="AA108" i="14"/>
  <c r="AC108" i="14"/>
  <c r="W108" i="14"/>
  <c r="AD163" i="14"/>
  <c r="X153" i="14"/>
  <c r="U153" i="14"/>
  <c r="W142" i="14"/>
  <c r="V142" i="14"/>
  <c r="V139" i="14"/>
  <c r="AB139" i="14"/>
  <c r="AD126" i="14"/>
  <c r="Z126" i="14"/>
  <c r="V126" i="14"/>
  <c r="AB126" i="14"/>
  <c r="W126" i="14"/>
  <c r="Y126" i="14"/>
  <c r="T126" i="14"/>
  <c r="AC126" i="14"/>
  <c r="S126" i="14"/>
  <c r="X126" i="14"/>
  <c r="AA126" i="14"/>
  <c r="U126" i="14"/>
  <c r="AC149" i="14"/>
  <c r="AB130" i="14"/>
  <c r="X130" i="14"/>
  <c r="AD130" i="14"/>
  <c r="W127" i="14"/>
  <c r="AB127" i="14"/>
  <c r="X108" i="14"/>
  <c r="AD108" i="14"/>
  <c r="W124" i="14"/>
  <c r="M81" i="14"/>
  <c r="M56" i="14"/>
  <c r="F144" i="14"/>
  <c r="AB137" i="14"/>
  <c r="X137" i="14"/>
  <c r="T137" i="14"/>
  <c r="AC137" i="14"/>
  <c r="W137" i="14"/>
  <c r="Z137" i="14"/>
  <c r="U137" i="14"/>
  <c r="Y137" i="14"/>
  <c r="AD137" i="14"/>
  <c r="S137" i="14"/>
  <c r="V137" i="14"/>
  <c r="AA137" i="14"/>
  <c r="K144" i="14"/>
  <c r="AC124" i="14"/>
  <c r="T124" i="14"/>
  <c r="W123" i="14"/>
  <c r="W95" i="14"/>
  <c r="AA80" i="14"/>
  <c r="AC74" i="14"/>
  <c r="W59" i="14"/>
  <c r="AD59" i="14"/>
  <c r="AC53" i="14"/>
  <c r="AC35" i="14"/>
  <c r="AA43" i="14"/>
  <c r="W43" i="14"/>
  <c r="S43" i="14"/>
  <c r="AC43" i="14"/>
  <c r="Y43" i="14"/>
  <c r="U43" i="14"/>
  <c r="X43" i="14"/>
  <c r="AD43" i="14"/>
  <c r="V43" i="14"/>
  <c r="AB43" i="14"/>
  <c r="T43" i="14"/>
  <c r="Z43" i="14"/>
  <c r="X53" i="14"/>
  <c r="AD46" i="14"/>
  <c r="AA106" i="14"/>
  <c r="X90" i="14"/>
  <c r="Z80" i="14"/>
  <c r="AB74" i="14"/>
  <c r="M71" i="14"/>
  <c r="Y53" i="14"/>
  <c r="Y106" i="14"/>
  <c r="AA54" i="14"/>
  <c r="W54" i="14"/>
  <c r="S54" i="14"/>
  <c r="S56" i="14" s="1"/>
  <c r="AC54" i="14"/>
  <c r="Y54" i="14"/>
  <c r="U54" i="14"/>
  <c r="AB54" i="14"/>
  <c r="T54" i="14"/>
  <c r="Z54" i="14"/>
  <c r="AD54" i="14"/>
  <c r="X54" i="14"/>
  <c r="V54" i="14"/>
  <c r="AD35" i="14"/>
  <c r="AB35" i="14"/>
  <c r="F56" i="14"/>
  <c r="X152" i="14"/>
  <c r="AA152" i="14"/>
  <c r="H155" i="14"/>
  <c r="AB152" i="14"/>
  <c r="AD152" i="14"/>
  <c r="AC152" i="14"/>
  <c r="AB163" i="14"/>
  <c r="V163" i="14"/>
  <c r="AC163" i="14"/>
  <c r="AD153" i="14"/>
  <c r="Y153" i="14"/>
  <c r="T142" i="14"/>
  <c r="Z142" i="14"/>
  <c r="Z139" i="14"/>
  <c r="AA128" i="14"/>
  <c r="W128" i="14"/>
  <c r="S128" i="14"/>
  <c r="AD128" i="14"/>
  <c r="Y128" i="14"/>
  <c r="T128" i="14"/>
  <c r="AB128" i="14"/>
  <c r="V128" i="14"/>
  <c r="X128" i="14"/>
  <c r="AC128" i="14"/>
  <c r="Z128" i="14"/>
  <c r="U128" i="14"/>
  <c r="X149" i="14"/>
  <c r="AA149" i="14"/>
  <c r="AC130" i="14"/>
  <c r="Y127" i="14"/>
  <c r="AC127" i="14"/>
  <c r="AB108" i="14"/>
  <c r="AC139" i="14"/>
  <c r="AD123" i="14"/>
  <c r="I81" i="14"/>
  <c r="AA74" i="14"/>
  <c r="W74" i="14"/>
  <c r="AC59" i="14"/>
  <c r="U59" i="14"/>
  <c r="G61" i="14"/>
  <c r="Y59" i="14"/>
  <c r="AA59" i="14"/>
  <c r="G41" i="14"/>
  <c r="I56" i="14"/>
  <c r="I41" i="14"/>
  <c r="M144" i="14"/>
  <c r="L144" i="14"/>
  <c r="O144" i="14"/>
  <c r="AA124" i="14"/>
  <c r="V124" i="14"/>
  <c r="AB123" i="14"/>
  <c r="AA123" i="14"/>
  <c r="AA95" i="14"/>
  <c r="W78" i="14"/>
  <c r="Z70" i="14"/>
  <c r="AB70" i="14"/>
  <c r="AA60" i="14"/>
  <c r="W60" i="14"/>
  <c r="S60" i="14"/>
  <c r="S61" i="14" s="1"/>
  <c r="AC60" i="14"/>
  <c r="Y60" i="14"/>
  <c r="U60" i="14"/>
  <c r="AD60" i="14"/>
  <c r="V60" i="14"/>
  <c r="AB60" i="14"/>
  <c r="T60" i="14"/>
  <c r="X60" i="14"/>
  <c r="Z60" i="14"/>
  <c r="T59" i="14"/>
  <c r="AA55" i="14"/>
  <c r="U53" i="14"/>
  <c r="X49" i="14"/>
  <c r="AD49" i="14"/>
  <c r="AB47" i="14"/>
  <c r="X47" i="14"/>
  <c r="T47" i="14"/>
  <c r="AD47" i="14"/>
  <c r="Z47" i="14"/>
  <c r="V47" i="14"/>
  <c r="AA47" i="14"/>
  <c r="S47" i="14"/>
  <c r="Y47" i="14"/>
  <c r="W47" i="14"/>
  <c r="AC47" i="14"/>
  <c r="U47" i="14"/>
  <c r="U35" i="14"/>
  <c r="V20" i="14"/>
  <c r="X20" i="14"/>
  <c r="AA18" i="14"/>
  <c r="AD106" i="14"/>
  <c r="V76" i="14"/>
  <c r="X76" i="14"/>
  <c r="AB55" i="14"/>
  <c r="F50" i="14"/>
  <c r="Y18" i="14"/>
  <c r="V18" i="14"/>
  <c r="Z53" i="14"/>
  <c r="AB53" i="14"/>
  <c r="AB46" i="14"/>
  <c r="AC40" i="14"/>
  <c r="Y40" i="14"/>
  <c r="U40" i="14"/>
  <c r="AA40" i="14"/>
  <c r="W40" i="14"/>
  <c r="S40" i="14"/>
  <c r="AB40" i="14"/>
  <c r="T40" i="14"/>
  <c r="Z40" i="14"/>
  <c r="AD40" i="14"/>
  <c r="V40" i="14"/>
  <c r="X40" i="14"/>
  <c r="AC114" i="14"/>
  <c r="Y114" i="14"/>
  <c r="U114" i="14"/>
  <c r="AA114" i="14"/>
  <c r="W114" i="14"/>
  <c r="S114" i="14"/>
  <c r="X114" i="14"/>
  <c r="AD114" i="14"/>
  <c r="T114" i="14"/>
  <c r="Z114" i="14"/>
  <c r="V114" i="14"/>
  <c r="AB114" i="14"/>
  <c r="AC90" i="14"/>
  <c r="Y90" i="14"/>
  <c r="AB90" i="14"/>
  <c r="F81" i="14"/>
  <c r="AD80" i="14"/>
  <c r="AA78" i="14"/>
  <c r="Y74" i="14"/>
  <c r="V74" i="14"/>
  <c r="AC69" i="14"/>
  <c r="Y69" i="14"/>
  <c r="U69" i="14"/>
  <c r="AA69" i="14"/>
  <c r="W69" i="14"/>
  <c r="S69" i="14"/>
  <c r="S71" i="14" s="1"/>
  <c r="F71" i="14"/>
  <c r="Z69" i="14"/>
  <c r="X69" i="14"/>
  <c r="T69" i="14"/>
  <c r="AD69" i="14"/>
  <c r="V69" i="14"/>
  <c r="AB69" i="14"/>
  <c r="V106" i="14"/>
  <c r="F41" i="14"/>
  <c r="AA46" i="14"/>
  <c r="AC76" i="14"/>
  <c r="P156" i="13"/>
  <c r="G156" i="13"/>
  <c r="T81" i="13"/>
  <c r="I156" i="13"/>
  <c r="H156" i="13"/>
  <c r="Z122" i="13"/>
  <c r="O156" i="13"/>
  <c r="AB154" i="13"/>
  <c r="X154" i="13"/>
  <c r="T154" i="13"/>
  <c r="Z154" i="13"/>
  <c r="U154" i="13"/>
  <c r="U155" i="13" s="1"/>
  <c r="AD154" i="13"/>
  <c r="Y154" i="13"/>
  <c r="S154" i="13"/>
  <c r="AC154" i="13"/>
  <c r="W154" i="13"/>
  <c r="V154" i="13"/>
  <c r="AA154" i="13"/>
  <c r="Z109" i="13"/>
  <c r="Y109" i="13"/>
  <c r="U109" i="13"/>
  <c r="AD109" i="13"/>
  <c r="AC137" i="13"/>
  <c r="AB104" i="13"/>
  <c r="AA104" i="13"/>
  <c r="AC55" i="13"/>
  <c r="G56" i="13"/>
  <c r="W53" i="13"/>
  <c r="AC53" i="13"/>
  <c r="AA49" i="13"/>
  <c r="W49" i="13"/>
  <c r="S49" i="13"/>
  <c r="AD49" i="13"/>
  <c r="Z49" i="13"/>
  <c r="V49" i="13"/>
  <c r="AC49" i="13"/>
  <c r="Y49" i="13"/>
  <c r="U49" i="13"/>
  <c r="AB49" i="13"/>
  <c r="X49" i="13"/>
  <c r="T49" i="13"/>
  <c r="AA105" i="13"/>
  <c r="AD99" i="13"/>
  <c r="AD101" i="13" s="1"/>
  <c r="AA60" i="13"/>
  <c r="W60" i="13"/>
  <c r="S60" i="13"/>
  <c r="AC60" i="13"/>
  <c r="X60" i="13"/>
  <c r="X61" i="13" s="1"/>
  <c r="AB60" i="13"/>
  <c r="V60" i="13"/>
  <c r="Z60" i="13"/>
  <c r="U60" i="13"/>
  <c r="U61" i="13" s="1"/>
  <c r="AD60" i="13"/>
  <c r="Y60" i="13"/>
  <c r="T60" i="13"/>
  <c r="AB55" i="13"/>
  <c r="AD55" i="13"/>
  <c r="AC114" i="13"/>
  <c r="AA109" i="13"/>
  <c r="F164" i="13"/>
  <c r="AA163" i="13"/>
  <c r="AA164" i="13" s="1"/>
  <c r="W163" i="13"/>
  <c r="W164" i="13" s="1"/>
  <c r="S163" i="13"/>
  <c r="S164" i="13" s="1"/>
  <c r="AD163" i="13"/>
  <c r="AD164" i="13" s="1"/>
  <c r="Z163" i="13"/>
  <c r="V163" i="13"/>
  <c r="AC163" i="13"/>
  <c r="AC164" i="13" s="1"/>
  <c r="Y163" i="13"/>
  <c r="Y164" i="13" s="1"/>
  <c r="U163" i="13"/>
  <c r="U164" i="13" s="1"/>
  <c r="AB163" i="13"/>
  <c r="AB164" i="13" s="1"/>
  <c r="X163" i="13"/>
  <c r="X164" i="13" s="1"/>
  <c r="T163" i="13"/>
  <c r="T164" i="13" s="1"/>
  <c r="AB152" i="13"/>
  <c r="AD152" i="13"/>
  <c r="AD155" i="13"/>
  <c r="AD138" i="13"/>
  <c r="W137" i="13"/>
  <c r="AD137" i="13"/>
  <c r="V125" i="13"/>
  <c r="AD149" i="13"/>
  <c r="AC130" i="13"/>
  <c r="AB130" i="13"/>
  <c r="AB149" i="13"/>
  <c r="F155" i="13"/>
  <c r="Y137" i="13"/>
  <c r="W122" i="13"/>
  <c r="N115" i="13"/>
  <c r="J115" i="13"/>
  <c r="F115" i="13"/>
  <c r="Q115" i="13"/>
  <c r="L115" i="13"/>
  <c r="G115" i="13"/>
  <c r="P115" i="13"/>
  <c r="K115" i="13"/>
  <c r="O115" i="13"/>
  <c r="I115" i="13"/>
  <c r="H115" i="13"/>
  <c r="M115" i="13"/>
  <c r="G132" i="13"/>
  <c r="AC122" i="13"/>
  <c r="AD118" i="13"/>
  <c r="Y142" i="13"/>
  <c r="Z142" i="13"/>
  <c r="AA130" i="13"/>
  <c r="W118" i="13"/>
  <c r="AC109" i="13"/>
  <c r="AB109" i="13"/>
  <c r="J110" i="13"/>
  <c r="X149" i="13"/>
  <c r="X155" i="13" s="1"/>
  <c r="AA128" i="13"/>
  <c r="X122" i="13"/>
  <c r="Y118" i="13"/>
  <c r="I110" i="13"/>
  <c r="AB70" i="13"/>
  <c r="AD70" i="13"/>
  <c r="L144" i="13"/>
  <c r="L156" i="13" s="1"/>
  <c r="AB123" i="13"/>
  <c r="X123" i="13"/>
  <c r="T123" i="13"/>
  <c r="T132" i="13" s="1"/>
  <c r="F132" i="13"/>
  <c r="Z123" i="13"/>
  <c r="U123" i="13"/>
  <c r="AC123" i="13"/>
  <c r="W123" i="13"/>
  <c r="V123" i="13"/>
  <c r="AD123" i="13"/>
  <c r="S123" i="13"/>
  <c r="AA123" i="13"/>
  <c r="Y123" i="13"/>
  <c r="K132" i="13"/>
  <c r="AA122" i="13"/>
  <c r="Z104" i="13"/>
  <c r="Y104" i="13"/>
  <c r="Y110" i="13" s="1"/>
  <c r="AA79" i="13"/>
  <c r="W79" i="13"/>
  <c r="S79" i="13"/>
  <c r="AD79" i="13"/>
  <c r="Y79" i="13"/>
  <c r="T79" i="13"/>
  <c r="AB79" i="13"/>
  <c r="U79" i="13"/>
  <c r="Z79" i="13"/>
  <c r="X79" i="13"/>
  <c r="AC79" i="13"/>
  <c r="V79" i="13"/>
  <c r="AC108" i="13"/>
  <c r="AA90" i="13"/>
  <c r="V74" i="13"/>
  <c r="F81" i="13"/>
  <c r="V55" i="13"/>
  <c r="I56" i="13"/>
  <c r="M50" i="13"/>
  <c r="AA118" i="13"/>
  <c r="Y114" i="13"/>
  <c r="V114" i="13"/>
  <c r="AC90" i="13"/>
  <c r="AB78" i="13"/>
  <c r="X78" i="13"/>
  <c r="T78" i="13"/>
  <c r="AC78" i="13"/>
  <c r="W78" i="13"/>
  <c r="Y78" i="13"/>
  <c r="AD78" i="13"/>
  <c r="V78" i="13"/>
  <c r="AA78" i="13"/>
  <c r="U78" i="13"/>
  <c r="Z78" i="13"/>
  <c r="S78" i="13"/>
  <c r="S81" i="13" s="1"/>
  <c r="I81" i="13"/>
  <c r="AB95" i="13"/>
  <c r="AA95" i="13"/>
  <c r="Y40" i="13"/>
  <c r="AD40" i="13"/>
  <c r="AC35" i="13"/>
  <c r="Y35" i="13"/>
  <c r="U35" i="13"/>
  <c r="U41" i="13" s="1"/>
  <c r="AA35" i="13"/>
  <c r="W35" i="13"/>
  <c r="S35" i="13"/>
  <c r="S41" i="13" s="1"/>
  <c r="AD35" i="13"/>
  <c r="AD41" i="13" s="1"/>
  <c r="V35" i="13"/>
  <c r="AB35" i="13"/>
  <c r="T35" i="13"/>
  <c r="Z35" i="13"/>
  <c r="F41" i="13"/>
  <c r="X35" i="13"/>
  <c r="L82" i="13"/>
  <c r="AC19" i="13"/>
  <c r="AB19" i="13"/>
  <c r="Y17" i="13"/>
  <c r="AD88" i="13"/>
  <c r="W113" i="13"/>
  <c r="AD113" i="13"/>
  <c r="Y113" i="13"/>
  <c r="X104" i="13"/>
  <c r="AA74" i="13"/>
  <c r="AA81" i="13" s="1"/>
  <c r="T61" i="13"/>
  <c r="U53" i="13"/>
  <c r="T53" i="13"/>
  <c r="T56" i="13" s="1"/>
  <c r="AA38" i="13"/>
  <c r="U38" i="13"/>
  <c r="Z38" i="13"/>
  <c r="AC17" i="13"/>
  <c r="AC21" i="13" s="1"/>
  <c r="AC22" i="13" s="1"/>
  <c r="AB94" i="13"/>
  <c r="V36" i="13"/>
  <c r="X36" i="13"/>
  <c r="AB17" i="13"/>
  <c r="AD17" i="13"/>
  <c r="W107" i="13"/>
  <c r="AC107" i="13"/>
  <c r="Z107" i="13"/>
  <c r="AC94" i="13"/>
  <c r="U94" i="13"/>
  <c r="U96" i="13" s="1"/>
  <c r="AA94" i="13"/>
  <c r="AA47" i="13"/>
  <c r="U47" i="13"/>
  <c r="G41" i="13"/>
  <c r="Y18" i="13"/>
  <c r="Y43" i="13"/>
  <c r="Y55" i="13"/>
  <c r="W40" i="13"/>
  <c r="AD153" i="13"/>
  <c r="W152" i="13"/>
  <c r="AB153" i="13"/>
  <c r="AC153" i="13"/>
  <c r="V153" i="13"/>
  <c r="M144" i="13"/>
  <c r="M156" i="13" s="1"/>
  <c r="M132" i="13"/>
  <c r="AA152" i="13"/>
  <c r="X138" i="13"/>
  <c r="AD130" i="13"/>
  <c r="X128" i="13"/>
  <c r="Z125" i="13"/>
  <c r="AA124" i="13"/>
  <c r="W124" i="13"/>
  <c r="S124" i="13"/>
  <c r="AB124" i="13"/>
  <c r="V124" i="13"/>
  <c r="AD124" i="13"/>
  <c r="Y124" i="13"/>
  <c r="T124" i="13"/>
  <c r="Z124" i="13"/>
  <c r="X124" i="13"/>
  <c r="U124" i="13"/>
  <c r="AC124" i="13"/>
  <c r="V164" i="13"/>
  <c r="W149" i="13"/>
  <c r="Y138" i="13"/>
  <c r="AB128" i="13"/>
  <c r="AC128" i="13"/>
  <c r="Z138" i="13"/>
  <c r="V128" i="13"/>
  <c r="AD127" i="13"/>
  <c r="Z127" i="13"/>
  <c r="V127" i="13"/>
  <c r="AB127" i="13"/>
  <c r="W127" i="13"/>
  <c r="AA127" i="13"/>
  <c r="U127" i="13"/>
  <c r="Y127" i="13"/>
  <c r="T127" i="13"/>
  <c r="AC127" i="13"/>
  <c r="X127" i="13"/>
  <c r="S127" i="13"/>
  <c r="V122" i="13"/>
  <c r="AC76" i="13"/>
  <c r="X76" i="13"/>
  <c r="V118" i="13"/>
  <c r="T118" i="13"/>
  <c r="X142" i="13"/>
  <c r="AD142" i="13"/>
  <c r="W109" i="13"/>
  <c r="X105" i="13"/>
  <c r="H110" i="13"/>
  <c r="AD104" i="13"/>
  <c r="AB139" i="13"/>
  <c r="X139" i="13"/>
  <c r="T139" i="13"/>
  <c r="T144" i="13" s="1"/>
  <c r="Z139" i="13"/>
  <c r="U139" i="13"/>
  <c r="AD139" i="13"/>
  <c r="Y139" i="13"/>
  <c r="S139" i="13"/>
  <c r="S144" i="13" s="1"/>
  <c r="AC139" i="13"/>
  <c r="W139" i="13"/>
  <c r="AA139" i="13"/>
  <c r="V139" i="13"/>
  <c r="F144" i="13"/>
  <c r="F156" i="13" s="1"/>
  <c r="K144" i="13"/>
  <c r="K156" i="13" s="1"/>
  <c r="AA126" i="13"/>
  <c r="Y105" i="13"/>
  <c r="U105" i="13"/>
  <c r="U110" i="13" s="1"/>
  <c r="AD105" i="13"/>
  <c r="Z105" i="13"/>
  <c r="AB99" i="13"/>
  <c r="AB101" i="13" s="1"/>
  <c r="G101" i="13"/>
  <c r="U99" i="13"/>
  <c r="U101" i="13" s="1"/>
  <c r="Z76" i="13"/>
  <c r="AA75" i="13"/>
  <c r="W75" i="13"/>
  <c r="S75" i="13"/>
  <c r="AB75" i="13"/>
  <c r="V75" i="13"/>
  <c r="Y75" i="13"/>
  <c r="AD75" i="13"/>
  <c r="X75" i="13"/>
  <c r="X81" i="13" s="1"/>
  <c r="AC75" i="13"/>
  <c r="U75" i="13"/>
  <c r="U81" i="13" s="1"/>
  <c r="Z75" i="13"/>
  <c r="T75" i="13"/>
  <c r="W70" i="13"/>
  <c r="X137" i="13"/>
  <c r="X144" i="13" s="1"/>
  <c r="V104" i="13"/>
  <c r="AC104" i="13"/>
  <c r="P61" i="13"/>
  <c r="J56" i="13"/>
  <c r="J50" i="13"/>
  <c r="J82" i="13" s="1"/>
  <c r="AB108" i="13"/>
  <c r="Z99" i="13"/>
  <c r="Z101" i="13" s="1"/>
  <c r="Y99" i="13"/>
  <c r="Y101" i="13" s="1"/>
  <c r="AA99" i="13"/>
  <c r="AA101" i="13" s="1"/>
  <c r="AA89" i="13"/>
  <c r="W89" i="13"/>
  <c r="S89" i="13"/>
  <c r="AC89" i="13"/>
  <c r="X89" i="13"/>
  <c r="AD89" i="13"/>
  <c r="V89" i="13"/>
  <c r="AB89" i="13"/>
  <c r="U89" i="13"/>
  <c r="Z89" i="13"/>
  <c r="T89" i="13"/>
  <c r="Y89" i="13"/>
  <c r="AD80" i="13"/>
  <c r="AA63" i="13"/>
  <c r="W63" i="13"/>
  <c r="S63" i="13"/>
  <c r="AD63" i="13"/>
  <c r="Y63" i="13"/>
  <c r="T63" i="13"/>
  <c r="AC63" i="13"/>
  <c r="V63" i="13"/>
  <c r="AB63" i="13"/>
  <c r="U63" i="13"/>
  <c r="Z63" i="13"/>
  <c r="X63" i="13"/>
  <c r="Z55" i="13"/>
  <c r="AA54" i="13"/>
  <c r="W54" i="13"/>
  <c r="S54" i="13"/>
  <c r="AC54" i="13"/>
  <c r="X54" i="13"/>
  <c r="AB54" i="13"/>
  <c r="V54" i="13"/>
  <c r="Z54" i="13"/>
  <c r="U54" i="13"/>
  <c r="F56" i="13"/>
  <c r="T54" i="13"/>
  <c r="AD54" i="13"/>
  <c r="Y54" i="13"/>
  <c r="W48" i="13"/>
  <c r="I50" i="13"/>
  <c r="AD114" i="13"/>
  <c r="Y90" i="13"/>
  <c r="V90" i="13"/>
  <c r="N81" i="13"/>
  <c r="Z48" i="13"/>
  <c r="P50" i="13"/>
  <c r="P82" i="13" s="1"/>
  <c r="Z43" i="13"/>
  <c r="M21" i="13"/>
  <c r="M22" i="13" s="1"/>
  <c r="S21" i="13"/>
  <c r="S22" i="13" s="1"/>
  <c r="W95" i="13"/>
  <c r="V95" i="13"/>
  <c r="AC87" i="13"/>
  <c r="Y87" i="13"/>
  <c r="U87" i="13"/>
  <c r="Z87" i="13"/>
  <c r="T87" i="13"/>
  <c r="X87" i="13"/>
  <c r="AD87" i="13"/>
  <c r="W87" i="13"/>
  <c r="AB87" i="13"/>
  <c r="V87" i="13"/>
  <c r="AA87" i="13"/>
  <c r="S87" i="13"/>
  <c r="AC70" i="13"/>
  <c r="X40" i="13"/>
  <c r="AC40" i="13"/>
  <c r="AC36" i="13"/>
  <c r="W19" i="13"/>
  <c r="Y88" i="13"/>
  <c r="AA88" i="13"/>
  <c r="W18" i="13"/>
  <c r="AA141" i="13"/>
  <c r="W141" i="13"/>
  <c r="S141" i="13"/>
  <c r="Z141" i="13"/>
  <c r="U141" i="13"/>
  <c r="U144" i="13" s="1"/>
  <c r="U156" i="13" s="1"/>
  <c r="AD141" i="13"/>
  <c r="Y141" i="13"/>
  <c r="T141" i="13"/>
  <c r="AC141" i="13"/>
  <c r="X141" i="13"/>
  <c r="V141" i="13"/>
  <c r="AB141" i="13"/>
  <c r="AB113" i="13"/>
  <c r="AC113" i="13"/>
  <c r="S61" i="13"/>
  <c r="Z59" i="13"/>
  <c r="Z61" i="13" s="1"/>
  <c r="S56" i="13"/>
  <c r="Z53" i="13"/>
  <c r="X53" i="13"/>
  <c r="T38" i="13"/>
  <c r="Y38" i="13"/>
  <c r="AD38" i="13"/>
  <c r="Z18" i="13"/>
  <c r="X17" i="13"/>
  <c r="X21" i="13" s="1"/>
  <c r="X22" i="13" s="1"/>
  <c r="AB107" i="13"/>
  <c r="AA80" i="13"/>
  <c r="Z36" i="13"/>
  <c r="AB36" i="13"/>
  <c r="AD18" i="13"/>
  <c r="W17" i="13"/>
  <c r="W21" i="13" s="1"/>
  <c r="W22" i="13" s="1"/>
  <c r="AA107" i="13"/>
  <c r="AD107" i="13"/>
  <c r="X94" i="13"/>
  <c r="X96" i="13" s="1"/>
  <c r="Z94" i="13"/>
  <c r="Z96" i="13" s="1"/>
  <c r="AB48" i="13"/>
  <c r="T47" i="13"/>
  <c r="Y47" i="13"/>
  <c r="AC18" i="13"/>
  <c r="Y48" i="13"/>
  <c r="AC88" i="13"/>
  <c r="V137" i="13"/>
  <c r="V144" i="13" s="1"/>
  <c r="Z164" i="13"/>
  <c r="Y149" i="13"/>
  <c r="Y155" i="13" s="1"/>
  <c r="Z130" i="13"/>
  <c r="U130" i="13"/>
  <c r="F50" i="13"/>
  <c r="AA46" i="13"/>
  <c r="W46" i="13"/>
  <c r="W50" i="13" s="1"/>
  <c r="S46" i="13"/>
  <c r="S50" i="13" s="1"/>
  <c r="AD46" i="13"/>
  <c r="Z46" i="13"/>
  <c r="V46" i="13"/>
  <c r="V50" i="13" s="1"/>
  <c r="AC46" i="13"/>
  <c r="AC50" i="13" s="1"/>
  <c r="Y46" i="13"/>
  <c r="U46" i="13"/>
  <c r="T46" i="13"/>
  <c r="T50" i="13" s="1"/>
  <c r="AB46" i="13"/>
  <c r="AB50" i="13" s="1"/>
  <c r="X46" i="13"/>
  <c r="X99" i="13"/>
  <c r="X101" i="13" s="1"/>
  <c r="AD74" i="13"/>
  <c r="AD81" i="13" s="1"/>
  <c r="W74" i="13"/>
  <c r="G81" i="13"/>
  <c r="Y74" i="13"/>
  <c r="X108" i="13"/>
  <c r="Y95" i="13"/>
  <c r="AC95" i="13"/>
  <c r="Z95" i="13"/>
  <c r="AB40" i="13"/>
  <c r="N82" i="13"/>
  <c r="Y21" i="13"/>
  <c r="Y22" i="13" s="1"/>
  <c r="V47" i="13"/>
  <c r="V113" i="13"/>
  <c r="Z113" i="13"/>
  <c r="Y59" i="13"/>
  <c r="Y61" i="13" s="1"/>
  <c r="V61" i="13"/>
  <c r="AB59" i="13"/>
  <c r="Y53" i="13"/>
  <c r="Y56" i="13" s="1"/>
  <c r="V53" i="13"/>
  <c r="V56" i="13" s="1"/>
  <c r="AB53" i="13"/>
  <c r="X38" i="13"/>
  <c r="AC38" i="13"/>
  <c r="Y19" i="13"/>
  <c r="Z19" i="13"/>
  <c r="U19" i="13"/>
  <c r="U21" i="13" s="1"/>
  <c r="U22" i="13" s="1"/>
  <c r="AD19" i="13"/>
  <c r="Z47" i="13"/>
  <c r="AA20" i="13"/>
  <c r="W20" i="13"/>
  <c r="S20" i="13"/>
  <c r="AD20" i="13"/>
  <c r="Y20" i="13"/>
  <c r="T20" i="13"/>
  <c r="T21" i="13" s="1"/>
  <c r="T22" i="13" s="1"/>
  <c r="AC20" i="13"/>
  <c r="X20" i="13"/>
  <c r="AB20" i="13"/>
  <c r="V20" i="13"/>
  <c r="Z20" i="13"/>
  <c r="U20" i="13"/>
  <c r="V17" i="13"/>
  <c r="Y107" i="13"/>
  <c r="AD94" i="13"/>
  <c r="X47" i="13"/>
  <c r="AB18" i="13"/>
  <c r="AB21" i="13" s="1"/>
  <c r="AB22" i="13" s="1"/>
  <c r="AA19" i="13"/>
  <c r="AA21" i="13" s="1"/>
  <c r="AA22" i="13" s="1"/>
  <c r="Z152" i="13"/>
  <c r="AA151" i="13"/>
  <c r="W151" i="13"/>
  <c r="S151" i="13"/>
  <c r="AB151" i="13"/>
  <c r="V151" i="13"/>
  <c r="AD151" i="13"/>
  <c r="Y151" i="13"/>
  <c r="T151" i="13"/>
  <c r="Z151" i="13"/>
  <c r="X151" i="13"/>
  <c r="U151" i="13"/>
  <c r="AC151" i="13"/>
  <c r="U153" i="13"/>
  <c r="H155" i="13"/>
  <c r="Z149" i="13"/>
  <c r="AA153" i="13"/>
  <c r="AB150" i="13"/>
  <c r="X150" i="13"/>
  <c r="T150" i="13"/>
  <c r="Z150" i="13"/>
  <c r="Z155" i="13" s="1"/>
  <c r="U150" i="13"/>
  <c r="AC150" i="13"/>
  <c r="W150" i="13"/>
  <c r="W155" i="13" s="1"/>
  <c r="V150" i="13"/>
  <c r="V155" i="13" s="1"/>
  <c r="AD150" i="13"/>
  <c r="S150" i="13"/>
  <c r="S155" i="13" s="1"/>
  <c r="AA150" i="13"/>
  <c r="Y150" i="13"/>
  <c r="AB137" i="13"/>
  <c r="Z137" i="13"/>
  <c r="AD126" i="13"/>
  <c r="Y126" i="13"/>
  <c r="W125" i="13"/>
  <c r="Y152" i="13"/>
  <c r="AB155" i="13"/>
  <c r="I155" i="13"/>
  <c r="W138" i="13"/>
  <c r="X130" i="13"/>
  <c r="U128" i="13"/>
  <c r="AA149" i="13"/>
  <c r="AA155" i="13" s="1"/>
  <c r="AC149" i="13"/>
  <c r="AC155" i="13" s="1"/>
  <c r="V130" i="13"/>
  <c r="AB122" i="13"/>
  <c r="AD122" i="13"/>
  <c r="AB80" i="13"/>
  <c r="AA137" i="13"/>
  <c r="AA144" i="13" s="1"/>
  <c r="Y122" i="13"/>
  <c r="Z118" i="13"/>
  <c r="AB118" i="13"/>
  <c r="W114" i="13"/>
  <c r="AC152" i="13"/>
  <c r="V142" i="13"/>
  <c r="Y125" i="13"/>
  <c r="X109" i="13"/>
  <c r="W108" i="13"/>
  <c r="O110" i="13"/>
  <c r="P110" i="13"/>
  <c r="Q144" i="13"/>
  <c r="Q156" i="13" s="1"/>
  <c r="Z126" i="13"/>
  <c r="AC126" i="13"/>
  <c r="X125" i="13"/>
  <c r="V109" i="13"/>
  <c r="Z70" i="13"/>
  <c r="AA69" i="13"/>
  <c r="W69" i="13"/>
  <c r="W71" i="13" s="1"/>
  <c r="S69" i="13"/>
  <c r="S71" i="13" s="1"/>
  <c r="AB69" i="13"/>
  <c r="AB71" i="13" s="1"/>
  <c r="V69" i="13"/>
  <c r="V71" i="13" s="1"/>
  <c r="F71" i="13"/>
  <c r="Z69" i="13"/>
  <c r="Z71" i="13" s="1"/>
  <c r="T69" i="13"/>
  <c r="T71" i="13" s="1"/>
  <c r="Y69" i="13"/>
  <c r="Y71" i="13" s="1"/>
  <c r="AD69" i="13"/>
  <c r="AD71" i="13" s="1"/>
  <c r="X69" i="13"/>
  <c r="X71" i="13" s="1"/>
  <c r="U69" i="13"/>
  <c r="U71" i="13" s="1"/>
  <c r="AC69" i="13"/>
  <c r="AC71" i="13" s="1"/>
  <c r="P132" i="13"/>
  <c r="G61" i="13"/>
  <c r="W59" i="13"/>
  <c r="AC59" i="13"/>
  <c r="AC61" i="13" s="1"/>
  <c r="X55" i="13"/>
  <c r="K56" i="13"/>
  <c r="K82" i="13" s="1"/>
  <c r="X48" i="13"/>
  <c r="X43" i="13"/>
  <c r="Z108" i="13"/>
  <c r="Y108" i="13"/>
  <c r="AA106" i="13"/>
  <c r="W106" i="13"/>
  <c r="S106" i="13"/>
  <c r="S110" i="13" s="1"/>
  <c r="AD106" i="13"/>
  <c r="Y106" i="13"/>
  <c r="T106" i="13"/>
  <c r="T110" i="13" s="1"/>
  <c r="AC106" i="13"/>
  <c r="X106" i="13"/>
  <c r="U106" i="13"/>
  <c r="AB106" i="13"/>
  <c r="Z106" i="13"/>
  <c r="V106" i="13"/>
  <c r="AC99" i="13"/>
  <c r="AC101" i="13" s="1"/>
  <c r="I96" i="13"/>
  <c r="V80" i="13"/>
  <c r="AC74" i="13"/>
  <c r="Z74" i="13"/>
  <c r="Z81" i="13" s="1"/>
  <c r="AB74" i="13"/>
  <c r="W55" i="13"/>
  <c r="Q50" i="13"/>
  <c r="Q82" i="13" s="1"/>
  <c r="W43" i="13"/>
  <c r="AC125" i="13"/>
  <c r="Z114" i="13"/>
  <c r="X114" i="13"/>
  <c r="W104" i="13"/>
  <c r="W110" i="13" s="1"/>
  <c r="X90" i="13"/>
  <c r="AD90" i="13"/>
  <c r="K81" i="13"/>
  <c r="H50" i="13"/>
  <c r="H82" i="13" s="1"/>
  <c r="AD95" i="13"/>
  <c r="AA70" i="13"/>
  <c r="AA40" i="13"/>
  <c r="U40" i="13"/>
  <c r="M41" i="13"/>
  <c r="X19" i="13"/>
  <c r="W88" i="13"/>
  <c r="Z88" i="13"/>
  <c r="AA113" i="13"/>
  <c r="X113" i="13"/>
  <c r="AA76" i="13"/>
  <c r="AD59" i="13"/>
  <c r="AD61" i="13" s="1"/>
  <c r="AA59" i="13"/>
  <c r="AA61" i="13" s="1"/>
  <c r="F61" i="13"/>
  <c r="AD53" i="13"/>
  <c r="AA53" i="13"/>
  <c r="AA56" i="13" s="1"/>
  <c r="AD47" i="13"/>
  <c r="AB38" i="13"/>
  <c r="V38" i="13"/>
  <c r="V19" i="13"/>
  <c r="V21" i="13" s="1"/>
  <c r="V22" i="13" s="1"/>
  <c r="Y36" i="13"/>
  <c r="I41" i="13"/>
  <c r="I82" i="13" s="1"/>
  <c r="Z17" i="13"/>
  <c r="Z21" i="13" s="1"/>
  <c r="Z22" i="13" s="1"/>
  <c r="X107" i="13"/>
  <c r="V94" i="13"/>
  <c r="V96" i="13" s="1"/>
  <c r="Y94" i="13"/>
  <c r="W94" i="13"/>
  <c r="W47" i="13"/>
  <c r="AB47" i="13"/>
  <c r="AB43" i="13"/>
  <c r="I21" i="13"/>
  <c r="I22" i="13" s="1"/>
  <c r="F12" i="12"/>
  <c r="K156" i="14" l="1"/>
  <c r="X122" i="14"/>
  <c r="X132" i="14" s="1"/>
  <c r="V164" i="14"/>
  <c r="V21" i="14"/>
  <c r="V22" i="14" s="1"/>
  <c r="L156" i="14"/>
  <c r="AA122" i="14"/>
  <c r="AA132" i="14" s="1"/>
  <c r="AA96" i="13"/>
  <c r="Y96" i="13"/>
  <c r="AB96" i="13"/>
  <c r="Y71" i="14"/>
  <c r="U50" i="14"/>
  <c r="AA164" i="14"/>
  <c r="Y122" i="14"/>
  <c r="Y132" i="14" s="1"/>
  <c r="AD164" i="14"/>
  <c r="W122" i="14"/>
  <c r="W132" i="14" s="1"/>
  <c r="AC164" i="14"/>
  <c r="V56" i="14"/>
  <c r="J132" i="14"/>
  <c r="W164" i="14"/>
  <c r="U21" i="14"/>
  <c r="U22" i="14" s="1"/>
  <c r="AB155" i="14"/>
  <c r="AD122" i="14"/>
  <c r="AD132" i="14" s="1"/>
  <c r="T122" i="14"/>
  <c r="T132" i="14" s="1"/>
  <c r="AC122" i="14"/>
  <c r="AC132" i="14" s="1"/>
  <c r="AB21" i="14"/>
  <c r="AB22" i="14" s="1"/>
  <c r="Z164" i="14"/>
  <c r="AB164" i="14"/>
  <c r="V122" i="14"/>
  <c r="V132" i="14" s="1"/>
  <c r="AB122" i="14"/>
  <c r="AB132" i="14" s="1"/>
  <c r="G132" i="14"/>
  <c r="Z122" i="14"/>
  <c r="U122" i="14"/>
  <c r="U132" i="14" s="1"/>
  <c r="X164" i="14"/>
  <c r="Y164" i="14"/>
  <c r="L104" i="14"/>
  <c r="O104" i="14"/>
  <c r="I104" i="14"/>
  <c r="R110" i="14"/>
  <c r="N104" i="14"/>
  <c r="P104" i="14"/>
  <c r="M104" i="14"/>
  <c r="G104" i="14"/>
  <c r="J104" i="14"/>
  <c r="K104" i="14"/>
  <c r="Q104" i="14"/>
  <c r="F104" i="14"/>
  <c r="H104" i="14"/>
  <c r="V81" i="14"/>
  <c r="Z21" i="14"/>
  <c r="Z22" i="14" s="1"/>
  <c r="AA21" i="14"/>
  <c r="AA22" i="14" s="1"/>
  <c r="L82" i="14"/>
  <c r="N105" i="14"/>
  <c r="P105" i="14"/>
  <c r="M105" i="14"/>
  <c r="H105" i="14"/>
  <c r="I105" i="14"/>
  <c r="Q105" i="14"/>
  <c r="J105" i="14"/>
  <c r="F105" i="14"/>
  <c r="G105" i="14"/>
  <c r="K105" i="14"/>
  <c r="L105" i="14"/>
  <c r="O105" i="14"/>
  <c r="P156" i="14"/>
  <c r="Q156" i="14"/>
  <c r="N82" i="14"/>
  <c r="S21" i="14"/>
  <c r="S22" i="14" s="1"/>
  <c r="X50" i="14"/>
  <c r="X56" i="14"/>
  <c r="Z155" i="14"/>
  <c r="O82" i="14"/>
  <c r="AA50" i="14"/>
  <c r="AB61" i="14"/>
  <c r="O156" i="14"/>
  <c r="W155" i="14"/>
  <c r="U81" i="14"/>
  <c r="V50" i="14"/>
  <c r="T21" i="14"/>
  <c r="T22" i="14" s="1"/>
  <c r="M156" i="14"/>
  <c r="S155" i="14"/>
  <c r="I156" i="14"/>
  <c r="N156" i="14"/>
  <c r="H156" i="14"/>
  <c r="AC155" i="14"/>
  <c r="AD144" i="14"/>
  <c r="X144" i="14"/>
  <c r="J156" i="14"/>
  <c r="J82" i="14"/>
  <c r="P82" i="14"/>
  <c r="AD81" i="14"/>
  <c r="K82" i="14"/>
  <c r="X71" i="14"/>
  <c r="V71" i="14"/>
  <c r="AA71" i="14"/>
  <c r="T71" i="14"/>
  <c r="Z71" i="14"/>
  <c r="Q82" i="14"/>
  <c r="Z56" i="14"/>
  <c r="Y56" i="14"/>
  <c r="AB50" i="14"/>
  <c r="S50" i="14"/>
  <c r="T41" i="14"/>
  <c r="AA155" i="14"/>
  <c r="G156" i="14"/>
  <c r="V155" i="14"/>
  <c r="F156" i="14"/>
  <c r="Y155" i="14"/>
  <c r="U155" i="14"/>
  <c r="AD155" i="14"/>
  <c r="V144" i="14"/>
  <c r="U144" i="14"/>
  <c r="W144" i="14"/>
  <c r="AB144" i="14"/>
  <c r="AB156" i="14" s="1"/>
  <c r="W81" i="14"/>
  <c r="AB81" i="14"/>
  <c r="Z81" i="14"/>
  <c r="T81" i="14"/>
  <c r="W71" i="14"/>
  <c r="AC71" i="14"/>
  <c r="G82" i="14"/>
  <c r="Y61" i="14"/>
  <c r="X61" i="14"/>
  <c r="W50" i="14"/>
  <c r="M82" i="14"/>
  <c r="Y50" i="14"/>
  <c r="AD50" i="14"/>
  <c r="T50" i="14"/>
  <c r="V41" i="14"/>
  <c r="AB41" i="14"/>
  <c r="S41" i="14"/>
  <c r="W41" i="14"/>
  <c r="H82" i="14"/>
  <c r="X41" i="14"/>
  <c r="U41" i="14"/>
  <c r="AC41" i="14"/>
  <c r="AD21" i="14"/>
  <c r="AD22" i="14" s="1"/>
  <c r="AE22" i="14" s="1"/>
  <c r="W21" i="14"/>
  <c r="W22" i="14" s="1"/>
  <c r="X21" i="14"/>
  <c r="X22" i="14" s="1"/>
  <c r="AC21" i="14"/>
  <c r="AC22" i="14" s="1"/>
  <c r="U61" i="14"/>
  <c r="AC56" i="14"/>
  <c r="W56" i="14"/>
  <c r="Z132" i="14"/>
  <c r="AA41" i="14"/>
  <c r="AD71" i="14"/>
  <c r="U71" i="14"/>
  <c r="Y81" i="14"/>
  <c r="AB56" i="14"/>
  <c r="T61" i="14"/>
  <c r="AA61" i="14"/>
  <c r="AC61" i="14"/>
  <c r="X155" i="14"/>
  <c r="AD61" i="14"/>
  <c r="AA144" i="14"/>
  <c r="Y144" i="14"/>
  <c r="AC144" i="14"/>
  <c r="X81" i="14"/>
  <c r="Z50" i="14"/>
  <c r="Y41" i="14"/>
  <c r="AC50" i="14"/>
  <c r="I82" i="14"/>
  <c r="W61" i="14"/>
  <c r="T144" i="14"/>
  <c r="Z61" i="14"/>
  <c r="T155" i="14"/>
  <c r="AD56" i="14"/>
  <c r="F82" i="14"/>
  <c r="AB71" i="14"/>
  <c r="U56" i="14"/>
  <c r="AA81" i="14"/>
  <c r="AD41" i="14"/>
  <c r="AC81" i="14"/>
  <c r="S144" i="14"/>
  <c r="Z144" i="14"/>
  <c r="Z41" i="14"/>
  <c r="T56" i="14"/>
  <c r="S81" i="14"/>
  <c r="AA56" i="14"/>
  <c r="S132" i="14"/>
  <c r="Y21" i="14"/>
  <c r="Y22" i="14" s="1"/>
  <c r="V61" i="14"/>
  <c r="S156" i="13"/>
  <c r="AA156" i="13"/>
  <c r="X156" i="13"/>
  <c r="Z41" i="13"/>
  <c r="U82" i="13"/>
  <c r="AD56" i="13"/>
  <c r="W61" i="13"/>
  <c r="AB61" i="13"/>
  <c r="Y81" i="13"/>
  <c r="V156" i="13"/>
  <c r="X56" i="13"/>
  <c r="U56" i="13"/>
  <c r="X110" i="13"/>
  <c r="T41" i="13"/>
  <c r="T82" i="13" s="1"/>
  <c r="Y41" i="13"/>
  <c r="V81" i="13"/>
  <c r="Z110" i="13"/>
  <c r="W132" i="13"/>
  <c r="AD144" i="13"/>
  <c r="AD156" i="13" s="1"/>
  <c r="AC56" i="13"/>
  <c r="AA110" i="13"/>
  <c r="M82" i="13"/>
  <c r="AA71" i="13"/>
  <c r="AD132" i="13"/>
  <c r="Z144" i="13"/>
  <c r="Z156" i="13" s="1"/>
  <c r="AD96" i="13"/>
  <c r="AB56" i="13"/>
  <c r="U50" i="13"/>
  <c r="Z50" i="13"/>
  <c r="AA50" i="13"/>
  <c r="Z56" i="13"/>
  <c r="AC110" i="13"/>
  <c r="V132" i="13"/>
  <c r="G82" i="13"/>
  <c r="X41" i="13"/>
  <c r="AB41" i="13"/>
  <c r="AB82" i="13" s="1"/>
  <c r="W41" i="13"/>
  <c r="AC41" i="13"/>
  <c r="AA132" i="13"/>
  <c r="S132" i="13"/>
  <c r="AC132" i="13"/>
  <c r="AD115" i="13"/>
  <c r="Z115" i="13"/>
  <c r="V115" i="13"/>
  <c r="AB115" i="13"/>
  <c r="W115" i="13"/>
  <c r="AA115" i="13"/>
  <c r="U115" i="13"/>
  <c r="Y115" i="13"/>
  <c r="T115" i="13"/>
  <c r="AC115" i="13"/>
  <c r="X115" i="13"/>
  <c r="S115" i="13"/>
  <c r="Y144" i="13"/>
  <c r="Y156" i="13" s="1"/>
  <c r="W144" i="13"/>
  <c r="W156" i="13" s="1"/>
  <c r="W56" i="13"/>
  <c r="AB110" i="13"/>
  <c r="AD82" i="13"/>
  <c r="AC81" i="13"/>
  <c r="T155" i="13"/>
  <c r="T156" i="13" s="1"/>
  <c r="S82" i="13"/>
  <c r="W96" i="13"/>
  <c r="AB81" i="13"/>
  <c r="Y132" i="13"/>
  <c r="AB132" i="13"/>
  <c r="AB144" i="13"/>
  <c r="AB156" i="13" s="1"/>
  <c r="W81" i="13"/>
  <c r="X50" i="13"/>
  <c r="Y50" i="13"/>
  <c r="AD50" i="13"/>
  <c r="V110" i="13"/>
  <c r="AD110" i="13"/>
  <c r="AC96" i="13"/>
  <c r="AD21" i="13"/>
  <c r="AD22" i="13" s="1"/>
  <c r="F82" i="13"/>
  <c r="V41" i="13"/>
  <c r="V82" i="13" s="1"/>
  <c r="AA41" i="13"/>
  <c r="AA82" i="13" s="1"/>
  <c r="U132" i="13"/>
  <c r="X132" i="13"/>
  <c r="AC144" i="13"/>
  <c r="AC156" i="13" s="1"/>
  <c r="Z132" i="13"/>
  <c r="Z156" i="14" l="1"/>
  <c r="W156" i="14"/>
  <c r="K110" i="14"/>
  <c r="P110" i="14"/>
  <c r="O110" i="14"/>
  <c r="W104" i="14"/>
  <c r="T104" i="14"/>
  <c r="Z104" i="14"/>
  <c r="F110" i="14"/>
  <c r="AD104" i="14"/>
  <c r="U104" i="14"/>
  <c r="AA104" i="14"/>
  <c r="AC104" i="14"/>
  <c r="S104" i="14"/>
  <c r="AB104" i="14"/>
  <c r="X104" i="14"/>
  <c r="V104" i="14"/>
  <c r="Y104" i="14"/>
  <c r="G110" i="14"/>
  <c r="Q110" i="14"/>
  <c r="M110" i="14"/>
  <c r="I110" i="14"/>
  <c r="S105" i="14"/>
  <c r="AD105" i="14"/>
  <c r="Y105" i="14"/>
  <c r="AA105" i="14"/>
  <c r="AC105" i="14"/>
  <c r="U105" i="14"/>
  <c r="Z105" i="14"/>
  <c r="V105" i="14"/>
  <c r="AB105" i="14"/>
  <c r="X105" i="14"/>
  <c r="T105" i="14"/>
  <c r="W105" i="14"/>
  <c r="H110" i="14"/>
  <c r="J110" i="14"/>
  <c r="N110" i="14"/>
  <c r="L110" i="14"/>
  <c r="S156" i="14"/>
  <c r="Y156" i="14"/>
  <c r="V156" i="14"/>
  <c r="AD156" i="14"/>
  <c r="AA156" i="14"/>
  <c r="AC156" i="14"/>
  <c r="U156" i="14"/>
  <c r="X156" i="14"/>
  <c r="V82" i="14"/>
  <c r="S82" i="14"/>
  <c r="T156" i="14"/>
  <c r="W82" i="14"/>
  <c r="U82" i="14"/>
  <c r="AC82" i="14"/>
  <c r="Y82" i="14"/>
  <c r="T82" i="14"/>
  <c r="AB82" i="14"/>
  <c r="X82" i="14"/>
  <c r="AA82" i="14"/>
  <c r="AD82" i="14"/>
  <c r="Z82" i="14"/>
  <c r="AC82" i="13"/>
  <c r="Y82" i="13"/>
  <c r="AE22" i="13"/>
  <c r="X82" i="13"/>
  <c r="Z82" i="13"/>
  <c r="W82" i="13"/>
  <c r="K144" i="7"/>
  <c r="U110" i="14" l="1"/>
  <c r="T110" i="14"/>
  <c r="V110" i="14"/>
  <c r="AC110" i="14"/>
  <c r="X110" i="14"/>
  <c r="AA110" i="14"/>
  <c r="Z110" i="14"/>
  <c r="AB110" i="14"/>
  <c r="Y110" i="14"/>
  <c r="S110" i="14"/>
  <c r="AD110" i="14"/>
  <c r="W110" i="14"/>
  <c r="M162" i="11" l="1"/>
  <c r="M160" i="11"/>
  <c r="M152" i="11"/>
  <c r="M55" i="11"/>
  <c r="M20" i="11"/>
  <c r="M19" i="11"/>
  <c r="M18" i="11"/>
  <c r="M17" i="11"/>
  <c r="I163" i="11"/>
  <c r="I162" i="11"/>
  <c r="J162" i="11" s="1"/>
  <c r="I161" i="11"/>
  <c r="I160" i="11"/>
  <c r="J160" i="11" s="1"/>
  <c r="I154" i="11"/>
  <c r="I153" i="11"/>
  <c r="I152" i="11"/>
  <c r="J152" i="11" s="1"/>
  <c r="I151" i="11"/>
  <c r="I150" i="11"/>
  <c r="I149" i="11"/>
  <c r="I148" i="11"/>
  <c r="I147" i="11"/>
  <c r="I143" i="11"/>
  <c r="I142" i="11"/>
  <c r="I141" i="11"/>
  <c r="I140" i="11"/>
  <c r="I139" i="11"/>
  <c r="I138" i="11"/>
  <c r="I137" i="11"/>
  <c r="D133" i="11"/>
  <c r="I131" i="11"/>
  <c r="I130" i="11"/>
  <c r="I129" i="11"/>
  <c r="I128" i="11"/>
  <c r="I127" i="11"/>
  <c r="I126" i="11"/>
  <c r="I125" i="11"/>
  <c r="I124" i="11"/>
  <c r="I123" i="11"/>
  <c r="I122" i="11"/>
  <c r="I118" i="11"/>
  <c r="I117" i="11"/>
  <c r="I116" i="11"/>
  <c r="I115" i="11"/>
  <c r="I114" i="11"/>
  <c r="I113" i="11"/>
  <c r="I109" i="11"/>
  <c r="I108" i="11"/>
  <c r="I107" i="11"/>
  <c r="I106" i="11"/>
  <c r="I105" i="11"/>
  <c r="I104" i="11"/>
  <c r="I100" i="11"/>
  <c r="I99" i="11"/>
  <c r="I95" i="11"/>
  <c r="I94" i="11"/>
  <c r="I90" i="11"/>
  <c r="I89" i="11"/>
  <c r="I88" i="11"/>
  <c r="I87" i="11"/>
  <c r="I86" i="11"/>
  <c r="I80" i="11"/>
  <c r="I79" i="11"/>
  <c r="I78" i="11"/>
  <c r="I77" i="11"/>
  <c r="I76" i="11"/>
  <c r="I75" i="11"/>
  <c r="I74" i="11"/>
  <c r="I70" i="11"/>
  <c r="I69" i="11"/>
  <c r="J69" i="11" s="1"/>
  <c r="I68" i="11"/>
  <c r="I67" i="11"/>
  <c r="I66" i="11"/>
  <c r="J66" i="11" s="1"/>
  <c r="I63" i="11"/>
  <c r="I60" i="11"/>
  <c r="I59" i="11"/>
  <c r="I55" i="11"/>
  <c r="J55" i="11" s="1"/>
  <c r="I54" i="11"/>
  <c r="J54" i="11" s="1"/>
  <c r="I53" i="11"/>
  <c r="I49" i="11"/>
  <c r="I48" i="11"/>
  <c r="I47" i="11"/>
  <c r="I46" i="11"/>
  <c r="I43" i="11"/>
  <c r="I40" i="11"/>
  <c r="I39" i="11"/>
  <c r="I38" i="11"/>
  <c r="I37" i="11"/>
  <c r="I36" i="11"/>
  <c r="I35" i="11"/>
  <c r="I31" i="11"/>
  <c r="I20" i="11"/>
  <c r="I19" i="11"/>
  <c r="I18" i="11"/>
  <c r="I17" i="11"/>
  <c r="I16" i="11"/>
  <c r="I12" i="11"/>
  <c r="I11" i="11"/>
  <c r="J11" i="11" s="1"/>
  <c r="I10" i="11"/>
  <c r="I9" i="11"/>
  <c r="I8" i="11"/>
  <c r="J8" i="11" s="1"/>
  <c r="I7" i="11"/>
  <c r="F3" i="11"/>
  <c r="J10" i="11" l="1"/>
  <c r="P4" i="1"/>
  <c r="O4" i="1"/>
  <c r="J163" i="11"/>
  <c r="J70" i="11"/>
  <c r="J40" i="11"/>
  <c r="I110" i="11"/>
  <c r="I132" i="11"/>
  <c r="I101" i="11"/>
  <c r="I71" i="11"/>
  <c r="I61" i="11"/>
  <c r="I13" i="11"/>
  <c r="I14" i="12" s="1"/>
  <c r="I21" i="11"/>
  <c r="I15" i="12" s="1"/>
  <c r="J18" i="11"/>
  <c r="I56" i="11"/>
  <c r="I164" i="11"/>
  <c r="I81" i="11"/>
  <c r="I144" i="11"/>
  <c r="I155" i="11"/>
  <c r="I41" i="11"/>
  <c r="I50" i="11"/>
  <c r="I91" i="11"/>
  <c r="I96" i="11"/>
  <c r="I119" i="11"/>
  <c r="N163" i="8"/>
  <c r="N162" i="8"/>
  <c r="O162" i="8" s="1"/>
  <c r="N161" i="8"/>
  <c r="N160" i="8"/>
  <c r="O160" i="8" s="1"/>
  <c r="N154" i="8"/>
  <c r="N153" i="8"/>
  <c r="N152" i="8"/>
  <c r="O152" i="8" s="1"/>
  <c r="N151" i="8"/>
  <c r="N150" i="8"/>
  <c r="N149" i="8"/>
  <c r="N148" i="8"/>
  <c r="K148" i="8"/>
  <c r="N147" i="8"/>
  <c r="N143" i="8"/>
  <c r="N142" i="8"/>
  <c r="N141" i="8"/>
  <c r="N140" i="8"/>
  <c r="N139" i="8"/>
  <c r="N138" i="8"/>
  <c r="N137" i="8"/>
  <c r="N108" i="8"/>
  <c r="N109" i="8"/>
  <c r="H108" i="8"/>
  <c r="H109" i="8"/>
  <c r="H118" i="8"/>
  <c r="H117" i="8"/>
  <c r="H116" i="8"/>
  <c r="H115" i="8"/>
  <c r="H114" i="8"/>
  <c r="H113" i="8"/>
  <c r="N131" i="8"/>
  <c r="N130" i="8"/>
  <c r="N129" i="8"/>
  <c r="N128" i="8"/>
  <c r="N127" i="8"/>
  <c r="N126" i="8"/>
  <c r="N125" i="8"/>
  <c r="N124" i="8"/>
  <c r="N123" i="8"/>
  <c r="N122" i="8"/>
  <c r="N118" i="8"/>
  <c r="N117" i="8"/>
  <c r="N116" i="8"/>
  <c r="N115" i="8"/>
  <c r="N114" i="8"/>
  <c r="N113" i="8"/>
  <c r="N107" i="8"/>
  <c r="N106" i="8"/>
  <c r="N105" i="8"/>
  <c r="N104" i="8"/>
  <c r="N100" i="8"/>
  <c r="N99" i="8"/>
  <c r="N95" i="8"/>
  <c r="N94" i="8"/>
  <c r="N90" i="8"/>
  <c r="N89" i="8"/>
  <c r="N88" i="8"/>
  <c r="N87" i="8"/>
  <c r="N86" i="8"/>
  <c r="N63" i="8"/>
  <c r="N80" i="8"/>
  <c r="N79" i="8"/>
  <c r="N78" i="8"/>
  <c r="N77" i="8"/>
  <c r="N76" i="8"/>
  <c r="N75" i="8"/>
  <c r="N74" i="8"/>
  <c r="N70" i="8"/>
  <c r="N69" i="8"/>
  <c r="O69" i="8" s="1"/>
  <c r="N68" i="8"/>
  <c r="N67" i="8"/>
  <c r="N66" i="8"/>
  <c r="O66" i="8" s="1"/>
  <c r="N60" i="8"/>
  <c r="N59" i="8"/>
  <c r="N43" i="8"/>
  <c r="N55" i="8"/>
  <c r="O55" i="8" s="1"/>
  <c r="N54" i="8"/>
  <c r="O54" i="8" s="1"/>
  <c r="N53" i="8"/>
  <c r="N49" i="8"/>
  <c r="N48" i="8"/>
  <c r="N47" i="8"/>
  <c r="N46" i="8"/>
  <c r="N40" i="8"/>
  <c r="N39" i="8"/>
  <c r="N38" i="8"/>
  <c r="N37" i="8"/>
  <c r="N36" i="8"/>
  <c r="N35" i="8"/>
  <c r="N31" i="8"/>
  <c r="N20" i="8"/>
  <c r="N19" i="8"/>
  <c r="N18" i="8"/>
  <c r="N17" i="8"/>
  <c r="N16" i="8"/>
  <c r="N8" i="8"/>
  <c r="O8" i="8" s="1"/>
  <c r="N9" i="8"/>
  <c r="N10" i="8"/>
  <c r="N11" i="8"/>
  <c r="O11" i="8" s="1"/>
  <c r="N12" i="8"/>
  <c r="N7" i="8"/>
  <c r="K3" i="8"/>
  <c r="AD169" i="6"/>
  <c r="AD168" i="6"/>
  <c r="S3" i="6"/>
  <c r="AD162" i="4"/>
  <c r="AC162" i="4"/>
  <c r="AB162" i="4"/>
  <c r="AA162" i="4"/>
  <c r="Z162" i="4"/>
  <c r="Y162" i="4"/>
  <c r="X162" i="4"/>
  <c r="W162" i="4"/>
  <c r="V162" i="4"/>
  <c r="U162" i="4"/>
  <c r="T162" i="4"/>
  <c r="S162" i="4"/>
  <c r="T161" i="4"/>
  <c r="S161" i="4"/>
  <c r="AD160" i="4"/>
  <c r="AC160" i="4"/>
  <c r="AB160" i="4"/>
  <c r="AA160" i="4"/>
  <c r="Z160" i="4"/>
  <c r="Y160" i="4"/>
  <c r="X160" i="4"/>
  <c r="W160" i="4"/>
  <c r="V160" i="4"/>
  <c r="U160" i="4"/>
  <c r="T160" i="4"/>
  <c r="S160" i="4"/>
  <c r="AD77" i="4"/>
  <c r="AC77" i="4"/>
  <c r="AB77" i="4"/>
  <c r="AA77" i="4"/>
  <c r="Z77" i="4"/>
  <c r="Y77" i="4"/>
  <c r="X77" i="4"/>
  <c r="W77" i="4"/>
  <c r="V77" i="4"/>
  <c r="U77" i="4"/>
  <c r="T77" i="4"/>
  <c r="S77" i="4"/>
  <c r="AD68" i="4"/>
  <c r="AC68" i="4"/>
  <c r="AB68" i="4"/>
  <c r="AA68" i="4"/>
  <c r="Z68" i="4"/>
  <c r="Y68" i="4"/>
  <c r="X68" i="4"/>
  <c r="W68" i="4"/>
  <c r="V68" i="4"/>
  <c r="U68" i="4"/>
  <c r="T68" i="4"/>
  <c r="S68" i="4"/>
  <c r="AD67" i="4"/>
  <c r="AC67" i="4"/>
  <c r="AB67" i="4"/>
  <c r="AA67" i="4"/>
  <c r="Z67" i="4"/>
  <c r="Y67" i="4"/>
  <c r="X67" i="4"/>
  <c r="W67" i="4"/>
  <c r="V67" i="4"/>
  <c r="U67" i="4"/>
  <c r="T67" i="4"/>
  <c r="S67" i="4"/>
  <c r="AD66" i="4"/>
  <c r="AC66" i="4"/>
  <c r="AB66" i="4"/>
  <c r="AA66" i="4"/>
  <c r="Z66" i="4"/>
  <c r="Y66" i="4"/>
  <c r="X66" i="4"/>
  <c r="W66" i="4"/>
  <c r="V66" i="4"/>
  <c r="U66" i="4"/>
  <c r="T66" i="4"/>
  <c r="S66" i="4"/>
  <c r="T39" i="4"/>
  <c r="S39" i="4"/>
  <c r="AD37" i="4"/>
  <c r="AC37" i="4"/>
  <c r="AB37" i="4"/>
  <c r="AA37" i="4"/>
  <c r="Z37" i="4"/>
  <c r="Y37" i="4"/>
  <c r="X37" i="4"/>
  <c r="W37" i="4"/>
  <c r="V37" i="4"/>
  <c r="U37" i="4"/>
  <c r="T37" i="4"/>
  <c r="S37" i="4"/>
  <c r="AC31" i="4"/>
  <c r="AB31" i="4"/>
  <c r="AA31" i="4"/>
  <c r="L31" i="8" s="1"/>
  <c r="Z31" i="4"/>
  <c r="Y31" i="4"/>
  <c r="X31" i="4"/>
  <c r="W31" i="4"/>
  <c r="V31" i="4"/>
  <c r="U31" i="4"/>
  <c r="T31" i="4"/>
  <c r="S31" i="4"/>
  <c r="AD12" i="4"/>
  <c r="AC12" i="4"/>
  <c r="AB12" i="4"/>
  <c r="AA12" i="4"/>
  <c r="L12" i="8" s="1"/>
  <c r="Z12" i="4"/>
  <c r="Y12" i="4"/>
  <c r="X12" i="4"/>
  <c r="W12" i="4"/>
  <c r="V12" i="4"/>
  <c r="U12" i="4"/>
  <c r="T12" i="4"/>
  <c r="S12" i="4"/>
  <c r="AD11" i="4"/>
  <c r="AC11" i="4"/>
  <c r="AB11" i="4"/>
  <c r="AA11" i="4"/>
  <c r="Z11" i="4"/>
  <c r="Y11" i="4"/>
  <c r="X11" i="4"/>
  <c r="W11" i="4"/>
  <c r="V11" i="4"/>
  <c r="U11" i="4"/>
  <c r="T11" i="4"/>
  <c r="S11" i="4"/>
  <c r="AD10" i="4"/>
  <c r="AC10" i="4"/>
  <c r="AB10" i="4"/>
  <c r="AA10" i="4"/>
  <c r="L10" i="8" s="1"/>
  <c r="M10" i="8" s="1"/>
  <c r="Z10" i="4"/>
  <c r="Y10" i="4"/>
  <c r="X10" i="4"/>
  <c r="W10" i="4"/>
  <c r="V10" i="4"/>
  <c r="U10" i="4"/>
  <c r="T10" i="4"/>
  <c r="S10" i="4"/>
  <c r="AD9" i="4"/>
  <c r="AC9" i="4"/>
  <c r="AB9" i="4"/>
  <c r="AA9" i="4"/>
  <c r="Z9" i="4"/>
  <c r="Y9" i="4"/>
  <c r="X9" i="4"/>
  <c r="W9" i="4"/>
  <c r="V9" i="4"/>
  <c r="U9" i="4"/>
  <c r="T9" i="4"/>
  <c r="S9" i="4"/>
  <c r="AD8" i="4"/>
  <c r="AC8" i="4"/>
  <c r="AB8" i="4"/>
  <c r="AA8" i="4"/>
  <c r="L8" i="8" s="1"/>
  <c r="M8" i="8" s="1"/>
  <c r="Z8" i="4"/>
  <c r="Y8" i="4"/>
  <c r="X8" i="4"/>
  <c r="W8" i="4"/>
  <c r="V8" i="4"/>
  <c r="U8" i="4"/>
  <c r="T8" i="4"/>
  <c r="S8" i="4"/>
  <c r="AD7" i="4"/>
  <c r="AC7" i="4"/>
  <c r="AC13" i="4" s="1"/>
  <c r="AB7" i="4"/>
  <c r="AA7" i="4"/>
  <c r="Z7" i="4"/>
  <c r="Z13" i="4" s="1"/>
  <c r="Y7" i="4"/>
  <c r="Y13" i="4" s="1"/>
  <c r="X7" i="4"/>
  <c r="X13" i="4" s="1"/>
  <c r="W7" i="4"/>
  <c r="W13" i="4" s="1"/>
  <c r="V7" i="4"/>
  <c r="V13" i="4" s="1"/>
  <c r="U7" i="4"/>
  <c r="U13" i="4" s="1"/>
  <c r="T7" i="4"/>
  <c r="T13" i="4" s="1"/>
  <c r="S7" i="4"/>
  <c r="S13" i="4" s="1"/>
  <c r="S3" i="4"/>
  <c r="AD163" i="7"/>
  <c r="AC163" i="7"/>
  <c r="AB163" i="7"/>
  <c r="AA163" i="7"/>
  <c r="Z163" i="7"/>
  <c r="Y163" i="7"/>
  <c r="X163" i="7"/>
  <c r="W163" i="7"/>
  <c r="V163" i="7"/>
  <c r="U163" i="7"/>
  <c r="T163" i="7"/>
  <c r="S163" i="7"/>
  <c r="AD162" i="7"/>
  <c r="AC162" i="7"/>
  <c r="AB162" i="7"/>
  <c r="AA162" i="7"/>
  <c r="Z162" i="7"/>
  <c r="Y162" i="7"/>
  <c r="X162" i="7"/>
  <c r="W162" i="7"/>
  <c r="V162" i="7"/>
  <c r="U162" i="7"/>
  <c r="T162" i="7"/>
  <c r="S162" i="7"/>
  <c r="AD161" i="7"/>
  <c r="AC161" i="7"/>
  <c r="AB161" i="7"/>
  <c r="AA161" i="7"/>
  <c r="Z161" i="7"/>
  <c r="Y161" i="7"/>
  <c r="X161" i="7"/>
  <c r="W161" i="7"/>
  <c r="V161" i="7"/>
  <c r="U161" i="7"/>
  <c r="T161" i="7"/>
  <c r="S161" i="7"/>
  <c r="AD160" i="7"/>
  <c r="AC160" i="7"/>
  <c r="AB160" i="7"/>
  <c r="AB164" i="7" s="1"/>
  <c r="AA160" i="7"/>
  <c r="AA164" i="7" s="1"/>
  <c r="Z160" i="7"/>
  <c r="Y160" i="7"/>
  <c r="Y164" i="7" s="1"/>
  <c r="X160" i="7"/>
  <c r="X164" i="7" s="1"/>
  <c r="W160" i="7"/>
  <c r="V160" i="7"/>
  <c r="U160" i="7"/>
  <c r="U164" i="7" s="1"/>
  <c r="T160" i="7"/>
  <c r="S160" i="7"/>
  <c r="AD154" i="7"/>
  <c r="AC154" i="7"/>
  <c r="AB154" i="7"/>
  <c r="AA154" i="7"/>
  <c r="Z154" i="7"/>
  <c r="F154" i="11" s="1"/>
  <c r="L154" i="11" s="1"/>
  <c r="M154" i="11" s="1"/>
  <c r="Y154" i="7"/>
  <c r="X154" i="7"/>
  <c r="W154" i="7"/>
  <c r="V154" i="7"/>
  <c r="U154" i="7"/>
  <c r="T154" i="7"/>
  <c r="O154" i="1" s="1"/>
  <c r="S154" i="7"/>
  <c r="AD153" i="7"/>
  <c r="AC153" i="7"/>
  <c r="AB153" i="7"/>
  <c r="AA153" i="7"/>
  <c r="Z153" i="7"/>
  <c r="F153" i="11" s="1"/>
  <c r="L153" i="11" s="1"/>
  <c r="M153" i="11" s="1"/>
  <c r="Y153" i="7"/>
  <c r="X153" i="7"/>
  <c r="W153" i="7"/>
  <c r="V153" i="7"/>
  <c r="U153" i="7"/>
  <c r="T153" i="7"/>
  <c r="O153" i="1" s="1"/>
  <c r="S153" i="7"/>
  <c r="AD152" i="7"/>
  <c r="AC152" i="7"/>
  <c r="AB152" i="7"/>
  <c r="AA152" i="7"/>
  <c r="Z152" i="7"/>
  <c r="Y152" i="7"/>
  <c r="X152" i="7"/>
  <c r="W152" i="7"/>
  <c r="V152" i="7"/>
  <c r="U152" i="7"/>
  <c r="T152" i="7"/>
  <c r="S152" i="7"/>
  <c r="AD151" i="7"/>
  <c r="AC151" i="7"/>
  <c r="AB151" i="7"/>
  <c r="AA151" i="7"/>
  <c r="Z151" i="7"/>
  <c r="Y151" i="7"/>
  <c r="X151" i="7"/>
  <c r="W151" i="7"/>
  <c r="V151" i="7"/>
  <c r="U151" i="7"/>
  <c r="T151" i="7"/>
  <c r="S151" i="7"/>
  <c r="AD150" i="7"/>
  <c r="AC150" i="7"/>
  <c r="AB150" i="7"/>
  <c r="AA150" i="7"/>
  <c r="Z150" i="7"/>
  <c r="F150" i="11" s="1"/>
  <c r="L150" i="11" s="1"/>
  <c r="M150" i="11" s="1"/>
  <c r="Y150" i="7"/>
  <c r="X150" i="7"/>
  <c r="W150" i="7"/>
  <c r="V150" i="7"/>
  <c r="U150" i="7"/>
  <c r="T150" i="7"/>
  <c r="O150" i="1" s="1"/>
  <c r="S150" i="7"/>
  <c r="AD149" i="7"/>
  <c r="AC149" i="7"/>
  <c r="AB149" i="7"/>
  <c r="AA149" i="7"/>
  <c r="Z149" i="7"/>
  <c r="F149" i="11" s="1"/>
  <c r="L149" i="11" s="1"/>
  <c r="M149" i="11" s="1"/>
  <c r="Y149" i="7"/>
  <c r="X149" i="7"/>
  <c r="W149" i="7"/>
  <c r="V149" i="7"/>
  <c r="U149" i="7"/>
  <c r="T149" i="7"/>
  <c r="O149" i="1" s="1"/>
  <c r="S149" i="7"/>
  <c r="AD148" i="7"/>
  <c r="AC148" i="7"/>
  <c r="AB148" i="7"/>
  <c r="AA148" i="7"/>
  <c r="Z148" i="7"/>
  <c r="Y148" i="7"/>
  <c r="X148" i="7"/>
  <c r="W148" i="7"/>
  <c r="V148" i="7"/>
  <c r="U148" i="7"/>
  <c r="T148" i="7"/>
  <c r="S148" i="7"/>
  <c r="AD147" i="7"/>
  <c r="AC147" i="7"/>
  <c r="AB147" i="7"/>
  <c r="AA147" i="7"/>
  <c r="Z147" i="7"/>
  <c r="Y147" i="7"/>
  <c r="X147" i="7"/>
  <c r="W147" i="7"/>
  <c r="V147" i="7"/>
  <c r="U147" i="7"/>
  <c r="T147" i="7"/>
  <c r="K147" i="8" s="1"/>
  <c r="S147" i="7"/>
  <c r="AD143" i="7"/>
  <c r="AC143" i="7"/>
  <c r="AB143" i="7"/>
  <c r="AA143" i="7"/>
  <c r="Z143" i="7"/>
  <c r="Y143" i="7"/>
  <c r="X143" i="7"/>
  <c r="W143" i="7"/>
  <c r="V143" i="7"/>
  <c r="U143" i="7"/>
  <c r="T143" i="7"/>
  <c r="S143" i="7"/>
  <c r="AD142" i="7"/>
  <c r="AC142" i="7"/>
  <c r="AB142" i="7"/>
  <c r="AA142" i="7"/>
  <c r="Z142" i="7"/>
  <c r="Y142" i="7"/>
  <c r="X142" i="7"/>
  <c r="W142" i="7"/>
  <c r="V142" i="7"/>
  <c r="U142" i="7"/>
  <c r="T142" i="7"/>
  <c r="S142" i="7"/>
  <c r="AD141" i="7"/>
  <c r="AC141" i="7"/>
  <c r="AB141" i="7"/>
  <c r="AA141" i="7"/>
  <c r="Z141" i="7"/>
  <c r="Y141" i="7"/>
  <c r="X141" i="7"/>
  <c r="W141" i="7"/>
  <c r="V141" i="7"/>
  <c r="U141" i="7"/>
  <c r="T141" i="7"/>
  <c r="O141" i="1" s="1"/>
  <c r="S141" i="7"/>
  <c r="AD140" i="7"/>
  <c r="AC140" i="7"/>
  <c r="AB140" i="7"/>
  <c r="AA140" i="7"/>
  <c r="Z140" i="7"/>
  <c r="Y140" i="7"/>
  <c r="X140" i="7"/>
  <c r="W140" i="7"/>
  <c r="V140" i="7"/>
  <c r="U140" i="7"/>
  <c r="T140" i="7"/>
  <c r="S140" i="7"/>
  <c r="AD139" i="7"/>
  <c r="AC139" i="7"/>
  <c r="AB139" i="7"/>
  <c r="AA139" i="7"/>
  <c r="Z139" i="7"/>
  <c r="Y139" i="7"/>
  <c r="X139" i="7"/>
  <c r="W139" i="7"/>
  <c r="V139" i="7"/>
  <c r="U139" i="7"/>
  <c r="T139" i="7"/>
  <c r="S139" i="7"/>
  <c r="AD138" i="7"/>
  <c r="AC138" i="7"/>
  <c r="AB138" i="7"/>
  <c r="AA138" i="7"/>
  <c r="Z138" i="7"/>
  <c r="Y138" i="7"/>
  <c r="X138" i="7"/>
  <c r="W138" i="7"/>
  <c r="V138" i="7"/>
  <c r="U138" i="7"/>
  <c r="T138" i="7"/>
  <c r="O138" i="1" s="1"/>
  <c r="S138" i="7"/>
  <c r="AD137" i="7"/>
  <c r="AC137" i="7"/>
  <c r="AB137" i="7"/>
  <c r="AA137" i="7"/>
  <c r="Z137" i="7"/>
  <c r="Y137" i="7"/>
  <c r="X137" i="7"/>
  <c r="X144" i="7" s="1"/>
  <c r="W137" i="7"/>
  <c r="V137" i="7"/>
  <c r="V144" i="7" s="1"/>
  <c r="U137" i="7"/>
  <c r="U144" i="7" s="1"/>
  <c r="T137" i="7"/>
  <c r="S137" i="7"/>
  <c r="S144" i="7" s="1"/>
  <c r="AD131" i="7"/>
  <c r="AC131" i="7"/>
  <c r="AB131" i="7"/>
  <c r="AA131" i="7"/>
  <c r="Z131" i="7"/>
  <c r="Y131" i="7"/>
  <c r="X131" i="7"/>
  <c r="W131" i="7"/>
  <c r="V131" i="7"/>
  <c r="U131" i="7"/>
  <c r="T131" i="7"/>
  <c r="S131" i="7"/>
  <c r="AD130" i="7"/>
  <c r="AC130" i="7"/>
  <c r="AB130" i="7"/>
  <c r="AA130" i="7"/>
  <c r="Z130" i="7"/>
  <c r="Y130" i="7"/>
  <c r="X130" i="7"/>
  <c r="W130" i="7"/>
  <c r="V130" i="7"/>
  <c r="U130" i="7"/>
  <c r="T130" i="7"/>
  <c r="S130" i="7"/>
  <c r="AD129" i="7"/>
  <c r="AC129" i="7"/>
  <c r="AB129" i="7"/>
  <c r="AA129" i="7"/>
  <c r="Z129" i="7"/>
  <c r="Y129" i="7"/>
  <c r="X129" i="7"/>
  <c r="W129" i="7"/>
  <c r="V129" i="7"/>
  <c r="U129" i="7"/>
  <c r="T129" i="7"/>
  <c r="S129" i="7"/>
  <c r="AD128" i="7"/>
  <c r="AC128" i="7"/>
  <c r="AB128" i="7"/>
  <c r="AA128" i="7"/>
  <c r="Z128" i="7"/>
  <c r="Y128" i="7"/>
  <c r="X128" i="7"/>
  <c r="W128" i="7"/>
  <c r="V128" i="7"/>
  <c r="U128" i="7"/>
  <c r="T128" i="7"/>
  <c r="S128" i="7"/>
  <c r="AD127" i="7"/>
  <c r="AC127" i="7"/>
  <c r="AB127" i="7"/>
  <c r="AA127" i="7"/>
  <c r="Z127" i="7"/>
  <c r="Y127" i="7"/>
  <c r="X127" i="7"/>
  <c r="W127" i="7"/>
  <c r="V127" i="7"/>
  <c r="U127" i="7"/>
  <c r="T127" i="7"/>
  <c r="S127" i="7"/>
  <c r="AD126" i="7"/>
  <c r="AC126" i="7"/>
  <c r="AB126" i="7"/>
  <c r="AA126" i="7"/>
  <c r="Z126" i="7"/>
  <c r="Y126" i="7"/>
  <c r="X126" i="7"/>
  <c r="W126" i="7"/>
  <c r="V126" i="7"/>
  <c r="U126" i="7"/>
  <c r="T126" i="7"/>
  <c r="S126" i="7"/>
  <c r="AD125" i="7"/>
  <c r="AC125" i="7"/>
  <c r="AB125" i="7"/>
  <c r="AA125" i="7"/>
  <c r="Z125" i="7"/>
  <c r="Y125" i="7"/>
  <c r="X125" i="7"/>
  <c r="W125" i="7"/>
  <c r="V125" i="7"/>
  <c r="U125" i="7"/>
  <c r="T125" i="7"/>
  <c r="S125" i="7"/>
  <c r="AD124" i="7"/>
  <c r="AC124" i="7"/>
  <c r="AB124" i="7"/>
  <c r="AA124" i="7"/>
  <c r="Z124" i="7"/>
  <c r="Y124" i="7"/>
  <c r="X124" i="7"/>
  <c r="W124" i="7"/>
  <c r="V124" i="7"/>
  <c r="U124" i="7"/>
  <c r="T124" i="7"/>
  <c r="S124" i="7"/>
  <c r="AD123" i="7"/>
  <c r="AC123" i="7"/>
  <c r="AB123" i="7"/>
  <c r="AA123" i="7"/>
  <c r="Z123" i="7"/>
  <c r="Y123" i="7"/>
  <c r="X123" i="7"/>
  <c r="W123" i="7"/>
  <c r="V123" i="7"/>
  <c r="U123" i="7"/>
  <c r="T123" i="7"/>
  <c r="S123" i="7"/>
  <c r="AD122" i="7"/>
  <c r="AC122" i="7"/>
  <c r="AB122" i="7"/>
  <c r="AB132" i="7" s="1"/>
  <c r="AA122" i="7"/>
  <c r="Z122" i="7"/>
  <c r="Y122" i="7"/>
  <c r="X122" i="7"/>
  <c r="X132" i="7" s="1"/>
  <c r="W122" i="7"/>
  <c r="W132" i="7" s="1"/>
  <c r="V122" i="7"/>
  <c r="U122" i="7"/>
  <c r="U132" i="7" s="1"/>
  <c r="T122" i="7"/>
  <c r="S122" i="7"/>
  <c r="AD118" i="7"/>
  <c r="AC118" i="7"/>
  <c r="AB118" i="7"/>
  <c r="AA118" i="7"/>
  <c r="Z118" i="7"/>
  <c r="F118" i="11" s="1"/>
  <c r="L118" i="11" s="1"/>
  <c r="M118" i="11" s="1"/>
  <c r="Y118" i="7"/>
  <c r="X118" i="7"/>
  <c r="W118" i="7"/>
  <c r="V118" i="7"/>
  <c r="U118" i="7"/>
  <c r="T118" i="7"/>
  <c r="O118" i="1" s="1"/>
  <c r="S118" i="7"/>
  <c r="AD117" i="7"/>
  <c r="AC117" i="7"/>
  <c r="AB117" i="7"/>
  <c r="AA117" i="7"/>
  <c r="Z117" i="7"/>
  <c r="F117" i="11" s="1"/>
  <c r="J117" i="11" s="1"/>
  <c r="Y117" i="7"/>
  <c r="X117" i="7"/>
  <c r="W117" i="7"/>
  <c r="V117" i="7"/>
  <c r="U117" i="7"/>
  <c r="T117" i="7"/>
  <c r="O117" i="1" s="1"/>
  <c r="S117" i="7"/>
  <c r="AD116" i="7"/>
  <c r="AC116" i="7"/>
  <c r="AB116" i="7"/>
  <c r="AA116" i="7"/>
  <c r="Z116" i="7"/>
  <c r="Y116" i="7"/>
  <c r="X116" i="7"/>
  <c r="W116" i="7"/>
  <c r="V116" i="7"/>
  <c r="U116" i="7"/>
  <c r="T116" i="7"/>
  <c r="S116" i="7"/>
  <c r="AD115" i="7"/>
  <c r="AC115" i="7"/>
  <c r="AB115" i="7"/>
  <c r="AA115" i="7"/>
  <c r="Z115" i="7"/>
  <c r="Y115" i="7"/>
  <c r="X115" i="7"/>
  <c r="W115" i="7"/>
  <c r="V115" i="7"/>
  <c r="U115" i="7"/>
  <c r="T115" i="7"/>
  <c r="O115" i="1" s="1"/>
  <c r="S115" i="7"/>
  <c r="AD114" i="7"/>
  <c r="AC114" i="7"/>
  <c r="AB114" i="7"/>
  <c r="AA114" i="7"/>
  <c r="Z114" i="7"/>
  <c r="F114" i="11" s="1"/>
  <c r="L114" i="11" s="1"/>
  <c r="M114" i="11" s="1"/>
  <c r="Y114" i="7"/>
  <c r="X114" i="7"/>
  <c r="W114" i="7"/>
  <c r="V114" i="7"/>
  <c r="U114" i="7"/>
  <c r="T114" i="7"/>
  <c r="O114" i="1" s="1"/>
  <c r="S114" i="7"/>
  <c r="AD113" i="7"/>
  <c r="AC113" i="7"/>
  <c r="AB113" i="7"/>
  <c r="AA113" i="7"/>
  <c r="Z113" i="7"/>
  <c r="Y113" i="7"/>
  <c r="Y119" i="7" s="1"/>
  <c r="X113" i="7"/>
  <c r="X119" i="7" s="1"/>
  <c r="W113" i="7"/>
  <c r="V113" i="7"/>
  <c r="U113" i="7"/>
  <c r="U119" i="7" s="1"/>
  <c r="T113" i="7"/>
  <c r="S113" i="7"/>
  <c r="S119" i="7" s="1"/>
  <c r="AD109" i="7"/>
  <c r="AC109" i="7"/>
  <c r="AB109" i="7"/>
  <c r="AA109" i="7"/>
  <c r="Z109" i="7"/>
  <c r="Y109" i="7"/>
  <c r="X109" i="7"/>
  <c r="W109" i="7"/>
  <c r="V109" i="7"/>
  <c r="U109" i="7"/>
  <c r="T109" i="7"/>
  <c r="S109" i="7"/>
  <c r="AD108" i="7"/>
  <c r="AC108" i="7"/>
  <c r="AB108" i="7"/>
  <c r="AA108" i="7"/>
  <c r="Z108" i="7"/>
  <c r="Y108" i="7"/>
  <c r="X108" i="7"/>
  <c r="W108" i="7"/>
  <c r="V108" i="7"/>
  <c r="U108" i="7"/>
  <c r="T108" i="7"/>
  <c r="S108" i="7"/>
  <c r="AD107" i="7"/>
  <c r="AC107" i="7"/>
  <c r="AB107" i="7"/>
  <c r="AA107" i="7"/>
  <c r="Z107" i="7"/>
  <c r="Y107" i="7"/>
  <c r="X107" i="7"/>
  <c r="W107" i="7"/>
  <c r="V107" i="7"/>
  <c r="U107" i="7"/>
  <c r="T107" i="7"/>
  <c r="S107" i="7"/>
  <c r="AD106" i="7"/>
  <c r="AC106" i="7"/>
  <c r="AB106" i="7"/>
  <c r="AA106" i="7"/>
  <c r="Z106" i="7"/>
  <c r="Y106" i="7"/>
  <c r="X106" i="7"/>
  <c r="W106" i="7"/>
  <c r="V106" i="7"/>
  <c r="U106" i="7"/>
  <c r="T106" i="7"/>
  <c r="S106" i="7"/>
  <c r="AD105" i="7"/>
  <c r="AC105" i="7"/>
  <c r="AB105" i="7"/>
  <c r="AA105" i="7"/>
  <c r="Z105" i="7"/>
  <c r="Y105" i="7"/>
  <c r="X105" i="7"/>
  <c r="W105" i="7"/>
  <c r="V105" i="7"/>
  <c r="U105" i="7"/>
  <c r="T105" i="7"/>
  <c r="S105" i="7"/>
  <c r="AD104" i="7"/>
  <c r="AC104" i="7"/>
  <c r="AB104" i="7"/>
  <c r="AA104" i="7"/>
  <c r="Z104" i="7"/>
  <c r="Y104" i="7"/>
  <c r="X104" i="7"/>
  <c r="X110" i="7" s="1"/>
  <c r="W104" i="7"/>
  <c r="V104" i="7"/>
  <c r="U104" i="7"/>
  <c r="U110" i="7" s="1"/>
  <c r="T104" i="7"/>
  <c r="S104" i="7"/>
  <c r="AD100" i="7"/>
  <c r="AC100" i="7"/>
  <c r="AB100" i="7"/>
  <c r="AA100" i="7"/>
  <c r="Z100" i="7"/>
  <c r="Y100" i="7"/>
  <c r="X100" i="7"/>
  <c r="W100" i="7"/>
  <c r="V100" i="7"/>
  <c r="U100" i="7"/>
  <c r="T100" i="7"/>
  <c r="S100" i="7"/>
  <c r="AD99" i="7"/>
  <c r="AD101" i="7" s="1"/>
  <c r="AC99" i="7"/>
  <c r="AC101" i="7" s="1"/>
  <c r="AB99" i="7"/>
  <c r="AA99" i="7"/>
  <c r="AA101" i="7" s="1"/>
  <c r="Z99" i="7"/>
  <c r="Y99" i="7"/>
  <c r="Y101" i="7" s="1"/>
  <c r="X99" i="7"/>
  <c r="W99" i="7"/>
  <c r="W101" i="7" s="1"/>
  <c r="V99" i="7"/>
  <c r="V101" i="7" s="1"/>
  <c r="U99" i="7"/>
  <c r="U101" i="7" s="1"/>
  <c r="T99" i="7"/>
  <c r="S99" i="7"/>
  <c r="S101" i="7" s="1"/>
  <c r="AD95" i="7"/>
  <c r="AC95" i="7"/>
  <c r="AB95" i="7"/>
  <c r="AA95" i="7"/>
  <c r="Z95" i="7"/>
  <c r="Y95" i="7"/>
  <c r="X95" i="7"/>
  <c r="W95" i="7"/>
  <c r="V95" i="7"/>
  <c r="U95" i="7"/>
  <c r="T95" i="7"/>
  <c r="O95" i="1" s="1"/>
  <c r="S95" i="7"/>
  <c r="AD94" i="7"/>
  <c r="AD96" i="7" s="1"/>
  <c r="AC94" i="7"/>
  <c r="AB94" i="7"/>
  <c r="AA94" i="7"/>
  <c r="Z94" i="7"/>
  <c r="Y94" i="7"/>
  <c r="Y96" i="7" s="1"/>
  <c r="X94" i="7"/>
  <c r="X96" i="7" s="1"/>
  <c r="W94" i="7"/>
  <c r="W96" i="7" s="1"/>
  <c r="V94" i="7"/>
  <c r="V96" i="7" s="1"/>
  <c r="U94" i="7"/>
  <c r="U96" i="7" s="1"/>
  <c r="T94" i="7"/>
  <c r="S94" i="7"/>
  <c r="AD90" i="7"/>
  <c r="AC90" i="7"/>
  <c r="AB90" i="7"/>
  <c r="AA90" i="7"/>
  <c r="Z90" i="7"/>
  <c r="Y90" i="7"/>
  <c r="X90" i="7"/>
  <c r="W90" i="7"/>
  <c r="V90" i="7"/>
  <c r="U90" i="7"/>
  <c r="T90" i="7"/>
  <c r="O90" i="1" s="1"/>
  <c r="S90" i="7"/>
  <c r="AD89" i="7"/>
  <c r="AC89" i="7"/>
  <c r="AB89" i="7"/>
  <c r="AA89" i="7"/>
  <c r="Z89" i="7"/>
  <c r="Y89" i="7"/>
  <c r="X89" i="7"/>
  <c r="W89" i="7"/>
  <c r="V89" i="7"/>
  <c r="U89" i="7"/>
  <c r="T89" i="7"/>
  <c r="O89" i="1" s="1"/>
  <c r="S89" i="7"/>
  <c r="AD88" i="7"/>
  <c r="AC88" i="7"/>
  <c r="AB88" i="7"/>
  <c r="AA88" i="7"/>
  <c r="Z88" i="7"/>
  <c r="Y88" i="7"/>
  <c r="X88" i="7"/>
  <c r="W88" i="7"/>
  <c r="V88" i="7"/>
  <c r="U88" i="7"/>
  <c r="T88" i="7"/>
  <c r="O88" i="1" s="1"/>
  <c r="S88" i="7"/>
  <c r="AD87" i="7"/>
  <c r="AC87" i="7"/>
  <c r="AB87" i="7"/>
  <c r="AA87" i="7"/>
  <c r="Z87" i="7"/>
  <c r="Y87" i="7"/>
  <c r="X87" i="7"/>
  <c r="W87" i="7"/>
  <c r="V87" i="7"/>
  <c r="U87" i="7"/>
  <c r="T87" i="7"/>
  <c r="S87" i="7"/>
  <c r="AD86" i="7"/>
  <c r="AD91" i="7" s="1"/>
  <c r="AC86" i="7"/>
  <c r="AB86" i="7"/>
  <c r="AA86" i="7"/>
  <c r="Z86" i="7"/>
  <c r="Y86" i="7"/>
  <c r="X86" i="7"/>
  <c r="X91" i="7" s="1"/>
  <c r="W86" i="7"/>
  <c r="V86" i="7"/>
  <c r="U86" i="7"/>
  <c r="U91" i="7" s="1"/>
  <c r="T86" i="7"/>
  <c r="S86" i="7"/>
  <c r="AD80" i="7"/>
  <c r="AC80" i="7"/>
  <c r="AB80" i="7"/>
  <c r="AA80" i="7"/>
  <c r="Z80" i="7"/>
  <c r="Y80" i="7"/>
  <c r="X80" i="7"/>
  <c r="W80" i="7"/>
  <c r="V80" i="7"/>
  <c r="U80" i="7"/>
  <c r="T80" i="7"/>
  <c r="S80" i="7"/>
  <c r="AD79" i="7"/>
  <c r="AC79" i="7"/>
  <c r="AB79" i="7"/>
  <c r="AA79" i="7"/>
  <c r="Z79" i="7"/>
  <c r="Y79" i="7"/>
  <c r="X79" i="7"/>
  <c r="W79" i="7"/>
  <c r="V79" i="7"/>
  <c r="U79" i="7"/>
  <c r="T79" i="7"/>
  <c r="O79" i="1" s="1"/>
  <c r="S79" i="7"/>
  <c r="AD78" i="7"/>
  <c r="AC78" i="7"/>
  <c r="AB78" i="7"/>
  <c r="AA78" i="7"/>
  <c r="Z78" i="7"/>
  <c r="Y78" i="7"/>
  <c r="X78" i="7"/>
  <c r="W78" i="7"/>
  <c r="V78" i="7"/>
  <c r="U78" i="7"/>
  <c r="T78" i="7"/>
  <c r="S78" i="7"/>
  <c r="AD77" i="7"/>
  <c r="AC77" i="7"/>
  <c r="AB77" i="7"/>
  <c r="AA77" i="7"/>
  <c r="Z77" i="7"/>
  <c r="Y77" i="7"/>
  <c r="X77" i="7"/>
  <c r="W77" i="7"/>
  <c r="V77" i="7"/>
  <c r="U77" i="7"/>
  <c r="T77" i="7"/>
  <c r="K77" i="8" s="1"/>
  <c r="S77" i="7"/>
  <c r="AD76" i="7"/>
  <c r="AC76" i="7"/>
  <c r="AB76" i="7"/>
  <c r="AA76" i="7"/>
  <c r="Z76" i="7"/>
  <c r="Y76" i="7"/>
  <c r="X76" i="7"/>
  <c r="W76" i="7"/>
  <c r="V76" i="7"/>
  <c r="U76" i="7"/>
  <c r="T76" i="7"/>
  <c r="S76" i="7"/>
  <c r="AD75" i="7"/>
  <c r="AC75" i="7"/>
  <c r="AB75" i="7"/>
  <c r="AA75" i="7"/>
  <c r="Z75" i="7"/>
  <c r="Y75" i="7"/>
  <c r="X75" i="7"/>
  <c r="W75" i="7"/>
  <c r="V75" i="7"/>
  <c r="U75" i="7"/>
  <c r="T75" i="7"/>
  <c r="O75" i="1" s="1"/>
  <c r="S75" i="7"/>
  <c r="AD74" i="7"/>
  <c r="AC74" i="7"/>
  <c r="AB74" i="7"/>
  <c r="AA74" i="7"/>
  <c r="Z74" i="7"/>
  <c r="Y74" i="7"/>
  <c r="X74" i="7"/>
  <c r="X81" i="7" s="1"/>
  <c r="W74" i="7"/>
  <c r="W81" i="7" s="1"/>
  <c r="V74" i="7"/>
  <c r="U74" i="7"/>
  <c r="T74" i="7"/>
  <c r="S74" i="7"/>
  <c r="S81" i="7" s="1"/>
  <c r="AD70" i="7"/>
  <c r="AC70" i="7"/>
  <c r="AB70" i="7"/>
  <c r="AA70" i="7"/>
  <c r="Z70" i="7"/>
  <c r="Y70" i="7"/>
  <c r="X70" i="7"/>
  <c r="W70" i="7"/>
  <c r="V70" i="7"/>
  <c r="U70" i="7"/>
  <c r="T70" i="7"/>
  <c r="K70" i="8" s="1"/>
  <c r="S70" i="7"/>
  <c r="AD69" i="7"/>
  <c r="AC69" i="7"/>
  <c r="AB69" i="7"/>
  <c r="AA69" i="7"/>
  <c r="Z69" i="7"/>
  <c r="Y69" i="7"/>
  <c r="X69" i="7"/>
  <c r="W69" i="7"/>
  <c r="V69" i="7"/>
  <c r="U69" i="7"/>
  <c r="T69" i="7"/>
  <c r="T71" i="7" s="1"/>
  <c r="S69" i="7"/>
  <c r="AD68" i="7"/>
  <c r="AC68" i="7"/>
  <c r="AB68" i="7"/>
  <c r="AA68" i="7"/>
  <c r="K68" i="8" s="1"/>
  <c r="Z68" i="7"/>
  <c r="Y68" i="7"/>
  <c r="X68" i="7"/>
  <c r="W68" i="7"/>
  <c r="V68" i="7"/>
  <c r="U68" i="7"/>
  <c r="T68" i="7"/>
  <c r="S68" i="7"/>
  <c r="AD67" i="7"/>
  <c r="AC67" i="7"/>
  <c r="AB67" i="7"/>
  <c r="AA67" i="7"/>
  <c r="Z67" i="7"/>
  <c r="Y67" i="7"/>
  <c r="X67" i="7"/>
  <c r="W67" i="7"/>
  <c r="V67" i="7"/>
  <c r="U67" i="7"/>
  <c r="T67" i="7"/>
  <c r="S67" i="7"/>
  <c r="AD66" i="7"/>
  <c r="AD71" i="7" s="1"/>
  <c r="AC66" i="7"/>
  <c r="AB66" i="7"/>
  <c r="AA66" i="7"/>
  <c r="Z66" i="7"/>
  <c r="Z71" i="7" s="1"/>
  <c r="Y66" i="7"/>
  <c r="X66" i="7"/>
  <c r="W66" i="7"/>
  <c r="W71" i="7" s="1"/>
  <c r="V66" i="7"/>
  <c r="V71" i="7" s="1"/>
  <c r="U66" i="7"/>
  <c r="T66" i="7"/>
  <c r="S66" i="7"/>
  <c r="S71" i="7" s="1"/>
  <c r="AD63" i="7"/>
  <c r="AC63" i="7"/>
  <c r="AB63" i="7"/>
  <c r="AA63" i="7"/>
  <c r="Z63" i="7"/>
  <c r="Y63" i="7"/>
  <c r="X63" i="7"/>
  <c r="W63" i="7"/>
  <c r="V63" i="7"/>
  <c r="U63" i="7"/>
  <c r="T63" i="7"/>
  <c r="S63" i="7"/>
  <c r="AD60" i="7"/>
  <c r="AC60" i="7"/>
  <c r="AB60" i="7"/>
  <c r="AA60" i="7"/>
  <c r="Z60" i="7"/>
  <c r="Y60" i="7"/>
  <c r="X60" i="7"/>
  <c r="W60" i="7"/>
  <c r="V60" i="7"/>
  <c r="U60" i="7"/>
  <c r="T60" i="7"/>
  <c r="S60" i="7"/>
  <c r="AD59" i="7"/>
  <c r="AC59" i="7"/>
  <c r="AB59" i="7"/>
  <c r="AA59" i="7"/>
  <c r="Z59" i="7"/>
  <c r="Y59" i="7"/>
  <c r="Y61" i="7" s="1"/>
  <c r="X59" i="7"/>
  <c r="W59" i="7"/>
  <c r="W61" i="7" s="1"/>
  <c r="V59" i="7"/>
  <c r="U59" i="7"/>
  <c r="U61" i="7" s="1"/>
  <c r="T59" i="7"/>
  <c r="S59" i="7"/>
  <c r="AD55" i="7"/>
  <c r="AC55" i="7"/>
  <c r="AB55" i="7"/>
  <c r="AA55" i="7"/>
  <c r="Z55" i="7"/>
  <c r="Y55" i="7"/>
  <c r="X55" i="7"/>
  <c r="W55" i="7"/>
  <c r="V55" i="7"/>
  <c r="U55" i="7"/>
  <c r="T55" i="7"/>
  <c r="S55" i="7"/>
  <c r="AD54" i="7"/>
  <c r="AC54" i="7"/>
  <c r="AB54" i="7"/>
  <c r="AA54" i="7"/>
  <c r="K54" i="8" s="1"/>
  <c r="Z54" i="7"/>
  <c r="Y54" i="7"/>
  <c r="X54" i="7"/>
  <c r="W54" i="7"/>
  <c r="V54" i="7"/>
  <c r="U54" i="7"/>
  <c r="T54" i="7"/>
  <c r="S54" i="7"/>
  <c r="AD53" i="7"/>
  <c r="AD56" i="7" s="1"/>
  <c r="AC53" i="7"/>
  <c r="AB53" i="7"/>
  <c r="AA53" i="7"/>
  <c r="AA56" i="7" s="1"/>
  <c r="Z53" i="7"/>
  <c r="Z56" i="7" s="1"/>
  <c r="Y53" i="7"/>
  <c r="Y56" i="7" s="1"/>
  <c r="X53" i="7"/>
  <c r="X56" i="7" s="1"/>
  <c r="W53" i="7"/>
  <c r="W56" i="7" s="1"/>
  <c r="V53" i="7"/>
  <c r="V56" i="7" s="1"/>
  <c r="U53" i="7"/>
  <c r="U56" i="7" s="1"/>
  <c r="T53" i="7"/>
  <c r="S53" i="7"/>
  <c r="S56" i="7" s="1"/>
  <c r="AD43" i="7"/>
  <c r="AC43" i="7"/>
  <c r="AB43" i="7"/>
  <c r="AA43" i="7"/>
  <c r="Z43" i="7"/>
  <c r="Y43" i="7"/>
  <c r="X43" i="7"/>
  <c r="W43" i="7"/>
  <c r="V43" i="7"/>
  <c r="U43" i="7"/>
  <c r="T43" i="7"/>
  <c r="S43" i="7"/>
  <c r="AD49" i="7"/>
  <c r="AC49" i="7"/>
  <c r="AB49" i="7"/>
  <c r="AA49" i="7"/>
  <c r="Z49" i="7"/>
  <c r="Y49" i="7"/>
  <c r="X49" i="7"/>
  <c r="W49" i="7"/>
  <c r="V49" i="7"/>
  <c r="U49" i="7"/>
  <c r="T49" i="7"/>
  <c r="O49" i="1" s="1"/>
  <c r="S49" i="7"/>
  <c r="AD48" i="7"/>
  <c r="AC48" i="7"/>
  <c r="AB48" i="7"/>
  <c r="AA48" i="7"/>
  <c r="Z48" i="7"/>
  <c r="F48" i="11" s="1"/>
  <c r="L48" i="11" s="1"/>
  <c r="M48" i="11" s="1"/>
  <c r="Y48" i="7"/>
  <c r="X48" i="7"/>
  <c r="W48" i="7"/>
  <c r="V48" i="7"/>
  <c r="U48" i="7"/>
  <c r="T48" i="7"/>
  <c r="O48" i="1" s="1"/>
  <c r="S48" i="7"/>
  <c r="AD47" i="7"/>
  <c r="AC47" i="7"/>
  <c r="AB47" i="7"/>
  <c r="AA47" i="7"/>
  <c r="Z47" i="7"/>
  <c r="Y47" i="7"/>
  <c r="X47" i="7"/>
  <c r="W47" i="7"/>
  <c r="V47" i="7"/>
  <c r="U47" i="7"/>
  <c r="T47" i="7"/>
  <c r="O47" i="1" s="1"/>
  <c r="S47" i="7"/>
  <c r="AD46" i="7"/>
  <c r="AC46" i="7"/>
  <c r="AB46" i="7"/>
  <c r="AA46" i="7"/>
  <c r="Z46" i="7"/>
  <c r="Y46" i="7"/>
  <c r="X46" i="7"/>
  <c r="X50" i="7" s="1"/>
  <c r="W46" i="7"/>
  <c r="W50" i="7" s="1"/>
  <c r="V46" i="7"/>
  <c r="U46" i="7"/>
  <c r="T46" i="7"/>
  <c r="S46" i="7"/>
  <c r="S50" i="7" s="1"/>
  <c r="AD40" i="7"/>
  <c r="AC40" i="7"/>
  <c r="AB40" i="7"/>
  <c r="AA40" i="7"/>
  <c r="K40" i="8" s="1"/>
  <c r="Z40" i="7"/>
  <c r="Y40" i="7"/>
  <c r="X40" i="7"/>
  <c r="W40" i="7"/>
  <c r="V40" i="7"/>
  <c r="U40" i="7"/>
  <c r="T40" i="7"/>
  <c r="S40" i="7"/>
  <c r="AD39" i="7"/>
  <c r="AC39" i="7"/>
  <c r="AB39" i="7"/>
  <c r="AA39" i="7"/>
  <c r="Z39" i="7"/>
  <c r="Y39" i="7"/>
  <c r="X39" i="7"/>
  <c r="W39" i="7"/>
  <c r="V39" i="7"/>
  <c r="U39" i="7"/>
  <c r="T39" i="7"/>
  <c r="S39" i="7"/>
  <c r="AD38" i="7"/>
  <c r="AC38" i="7"/>
  <c r="AB38" i="7"/>
  <c r="AA38" i="7"/>
  <c r="K38" i="8" s="1"/>
  <c r="Z38" i="7"/>
  <c r="Y38" i="7"/>
  <c r="X38" i="7"/>
  <c r="W38" i="7"/>
  <c r="V38" i="7"/>
  <c r="U38" i="7"/>
  <c r="T38" i="7"/>
  <c r="S38" i="7"/>
  <c r="AD37" i="7"/>
  <c r="AC37" i="7"/>
  <c r="AB37" i="7"/>
  <c r="AA37" i="7"/>
  <c r="K37" i="8" s="1"/>
  <c r="Z37" i="7"/>
  <c r="Y37" i="7"/>
  <c r="X37" i="7"/>
  <c r="W37" i="7"/>
  <c r="V37" i="7"/>
  <c r="U37" i="7"/>
  <c r="T37" i="7"/>
  <c r="S37" i="7"/>
  <c r="AD36" i="7"/>
  <c r="AC36" i="7"/>
  <c r="AB36" i="7"/>
  <c r="AA36" i="7"/>
  <c r="Z36" i="7"/>
  <c r="Y36" i="7"/>
  <c r="X36" i="7"/>
  <c r="W36" i="7"/>
  <c r="V36" i="7"/>
  <c r="U36" i="7"/>
  <c r="T36" i="7"/>
  <c r="S36" i="7"/>
  <c r="AD35" i="7"/>
  <c r="AD41" i="7" s="1"/>
  <c r="AC35" i="7"/>
  <c r="AB35" i="7"/>
  <c r="AA35" i="7"/>
  <c r="Z35" i="7"/>
  <c r="Y35" i="7"/>
  <c r="Y41" i="7" s="1"/>
  <c r="X35" i="7"/>
  <c r="X41" i="7" s="1"/>
  <c r="W35" i="7"/>
  <c r="W41" i="7" s="1"/>
  <c r="V35" i="7"/>
  <c r="U35" i="7"/>
  <c r="U41" i="7" s="1"/>
  <c r="T35" i="7"/>
  <c r="S35" i="7"/>
  <c r="S41" i="7" s="1"/>
  <c r="AD31" i="7"/>
  <c r="AC31" i="7"/>
  <c r="AB31" i="7"/>
  <c r="AA31" i="7"/>
  <c r="Z31" i="7"/>
  <c r="Y31" i="7"/>
  <c r="X31" i="7"/>
  <c r="W31" i="7"/>
  <c r="V31" i="7"/>
  <c r="U31" i="7"/>
  <c r="T31" i="7"/>
  <c r="S31" i="7"/>
  <c r="AD20" i="7"/>
  <c r="AC20" i="7"/>
  <c r="AB20" i="7"/>
  <c r="AA20" i="7"/>
  <c r="Z20" i="7"/>
  <c r="Y20" i="7"/>
  <c r="X20" i="7"/>
  <c r="W20" i="7"/>
  <c r="V20" i="7"/>
  <c r="U20" i="7"/>
  <c r="T20" i="7"/>
  <c r="S20" i="7"/>
  <c r="AD19" i="7"/>
  <c r="AC19" i="7"/>
  <c r="AB19" i="7"/>
  <c r="AA19" i="7"/>
  <c r="Z19" i="7"/>
  <c r="Y19" i="7"/>
  <c r="X19" i="7"/>
  <c r="W19" i="7"/>
  <c r="V19" i="7"/>
  <c r="U19" i="7"/>
  <c r="T19" i="7"/>
  <c r="S19" i="7"/>
  <c r="AD18" i="7"/>
  <c r="AC18" i="7"/>
  <c r="AB18" i="7"/>
  <c r="AA18" i="7"/>
  <c r="Z18" i="7"/>
  <c r="Y18" i="7"/>
  <c r="X18" i="7"/>
  <c r="W18" i="7"/>
  <c r="V18" i="7"/>
  <c r="U18" i="7"/>
  <c r="T18" i="7"/>
  <c r="S18" i="7"/>
  <c r="AD17" i="7"/>
  <c r="AC17" i="7"/>
  <c r="AB17" i="7"/>
  <c r="AA17" i="7"/>
  <c r="Z17" i="7"/>
  <c r="Y17" i="7"/>
  <c r="X17" i="7"/>
  <c r="W17" i="7"/>
  <c r="V17" i="7"/>
  <c r="U17" i="7"/>
  <c r="T17" i="7"/>
  <c r="S17" i="7"/>
  <c r="AD16" i="7"/>
  <c r="AC16" i="7"/>
  <c r="AB16" i="7"/>
  <c r="AA16" i="7"/>
  <c r="Z16" i="7"/>
  <c r="Y16" i="7"/>
  <c r="X16" i="7"/>
  <c r="X21" i="7" s="1"/>
  <c r="W16" i="7"/>
  <c r="V16" i="7"/>
  <c r="V21" i="7" s="1"/>
  <c r="U16" i="7"/>
  <c r="U21" i="7" s="1"/>
  <c r="T16" i="7"/>
  <c r="S16" i="7"/>
  <c r="AD12" i="7"/>
  <c r="AC12" i="7"/>
  <c r="AB12" i="7"/>
  <c r="AA12" i="7"/>
  <c r="Z12" i="7"/>
  <c r="Y12" i="7"/>
  <c r="X12" i="7"/>
  <c r="W12" i="7"/>
  <c r="V12" i="7"/>
  <c r="U12" i="7"/>
  <c r="T12" i="7"/>
  <c r="S12" i="7"/>
  <c r="AD11" i="7"/>
  <c r="AC11" i="7"/>
  <c r="AB11" i="7"/>
  <c r="AA11" i="7"/>
  <c r="Z11" i="7"/>
  <c r="Y11" i="7"/>
  <c r="X11" i="7"/>
  <c r="W11" i="7"/>
  <c r="V11" i="7"/>
  <c r="U11" i="7"/>
  <c r="T11" i="7"/>
  <c r="S11" i="7"/>
  <c r="AD10" i="7"/>
  <c r="AC10" i="7"/>
  <c r="AB10" i="7"/>
  <c r="AA10" i="7"/>
  <c r="K10" i="8" s="1"/>
  <c r="Z10" i="7"/>
  <c r="Y10" i="7"/>
  <c r="X10" i="7"/>
  <c r="W10" i="7"/>
  <c r="V10" i="7"/>
  <c r="U10" i="7"/>
  <c r="T10" i="7"/>
  <c r="S10" i="7"/>
  <c r="AD9" i="7"/>
  <c r="AC9" i="7"/>
  <c r="AB9" i="7"/>
  <c r="AA9" i="7"/>
  <c r="Z9" i="7"/>
  <c r="Y9" i="7"/>
  <c r="X9" i="7"/>
  <c r="W9" i="7"/>
  <c r="V9" i="7"/>
  <c r="U9" i="7"/>
  <c r="T9" i="7"/>
  <c r="K9" i="8" s="1"/>
  <c r="S9" i="7"/>
  <c r="AD8" i="7"/>
  <c r="AC8" i="7"/>
  <c r="AB8" i="7"/>
  <c r="AA8" i="7"/>
  <c r="Z8" i="7"/>
  <c r="Y8" i="7"/>
  <c r="X8" i="7"/>
  <c r="W8" i="7"/>
  <c r="V8" i="7"/>
  <c r="U8" i="7"/>
  <c r="T8" i="7"/>
  <c r="S8" i="7"/>
  <c r="U7" i="7"/>
  <c r="V7" i="7"/>
  <c r="W7" i="7"/>
  <c r="X7" i="7"/>
  <c r="Y7" i="7"/>
  <c r="Z7" i="7"/>
  <c r="AA7" i="7"/>
  <c r="AB7" i="7"/>
  <c r="AC7" i="7"/>
  <c r="AD7" i="7"/>
  <c r="T7" i="7"/>
  <c r="O7" i="1" s="1"/>
  <c r="S7" i="7"/>
  <c r="S13" i="7" s="1"/>
  <c r="S3" i="7"/>
  <c r="AC164" i="7"/>
  <c r="Z164" i="7"/>
  <c r="W164" i="7"/>
  <c r="V164" i="7"/>
  <c r="S164" i="7"/>
  <c r="S155" i="7"/>
  <c r="S132" i="7"/>
  <c r="S110" i="7"/>
  <c r="S96" i="7"/>
  <c r="S91" i="7"/>
  <c r="Y71" i="7"/>
  <c r="U71" i="7"/>
  <c r="S61" i="7"/>
  <c r="S21" i="7"/>
  <c r="AB13" i="4" l="1"/>
  <c r="AD144" i="7"/>
  <c r="AC71" i="7"/>
  <c r="AB71" i="7"/>
  <c r="AC56" i="7"/>
  <c r="P66" i="1"/>
  <c r="G66" i="11"/>
  <c r="L66" i="8"/>
  <c r="M66" i="8" s="1"/>
  <c r="P67" i="1"/>
  <c r="G67" i="11"/>
  <c r="P68" i="1"/>
  <c r="G68" i="11"/>
  <c r="L68" i="8"/>
  <c r="M68" i="8" s="1"/>
  <c r="P160" i="1"/>
  <c r="G160" i="11"/>
  <c r="H160" i="11" s="1"/>
  <c r="L160" i="8"/>
  <c r="M160" i="8" s="1"/>
  <c r="L67" i="8"/>
  <c r="P37" i="1"/>
  <c r="G37" i="11"/>
  <c r="L37" i="8"/>
  <c r="M37" i="8" s="1"/>
  <c r="P162" i="1"/>
  <c r="G162" i="11"/>
  <c r="H162" i="11" s="1"/>
  <c r="L162" i="8"/>
  <c r="M162" i="8" s="1"/>
  <c r="L77" i="8"/>
  <c r="M77" i="8" s="1"/>
  <c r="P31" i="1"/>
  <c r="G31" i="11"/>
  <c r="AD13" i="4"/>
  <c r="AA13" i="4"/>
  <c r="P7" i="1"/>
  <c r="G7" i="11"/>
  <c r="P9" i="1"/>
  <c r="G9" i="11"/>
  <c r="P11" i="1"/>
  <c r="G11" i="11"/>
  <c r="H11" i="11" s="1"/>
  <c r="L7" i="8"/>
  <c r="P8" i="1"/>
  <c r="G8" i="11"/>
  <c r="H8" i="11" s="1"/>
  <c r="P10" i="1"/>
  <c r="G10" i="11"/>
  <c r="H10" i="11" s="1"/>
  <c r="P12" i="1"/>
  <c r="G12" i="11"/>
  <c r="L11" i="8"/>
  <c r="M11" i="8" s="1"/>
  <c r="L9" i="8"/>
  <c r="M9" i="8" s="1"/>
  <c r="O123" i="1"/>
  <c r="K106" i="8"/>
  <c r="O106" i="8" s="1"/>
  <c r="O107" i="1"/>
  <c r="O105" i="1"/>
  <c r="O109" i="1"/>
  <c r="K151" i="8"/>
  <c r="O151" i="8" s="1"/>
  <c r="O142" i="1"/>
  <c r="O139" i="1"/>
  <c r="O128" i="1"/>
  <c r="O127" i="1"/>
  <c r="AB101" i="7"/>
  <c r="K94" i="8"/>
  <c r="O94" i="8" s="1"/>
  <c r="O87" i="1"/>
  <c r="O80" i="1"/>
  <c r="O78" i="1"/>
  <c r="K66" i="8"/>
  <c r="O63" i="1"/>
  <c r="K55" i="8"/>
  <c r="AB56" i="7"/>
  <c r="O39" i="1"/>
  <c r="O36" i="1"/>
  <c r="F36" i="11"/>
  <c r="L36" i="11" s="1"/>
  <c r="M36" i="11" s="1"/>
  <c r="O35" i="1"/>
  <c r="F35" i="11"/>
  <c r="L35" i="11" s="1"/>
  <c r="M35" i="11" s="1"/>
  <c r="O31" i="1"/>
  <c r="O20" i="1"/>
  <c r="O17" i="1"/>
  <c r="K11" i="8"/>
  <c r="O38" i="8"/>
  <c r="P77" i="1"/>
  <c r="G77" i="11"/>
  <c r="F115" i="11"/>
  <c r="J115" i="11" s="1"/>
  <c r="W119" i="7"/>
  <c r="K80" i="8"/>
  <c r="O80" i="8" s="1"/>
  <c r="F80" i="11"/>
  <c r="L80" i="11" s="1"/>
  <c r="M80" i="11" s="1"/>
  <c r="F79" i="11"/>
  <c r="J79" i="11" s="1"/>
  <c r="F78" i="11"/>
  <c r="L78" i="11" s="1"/>
  <c r="M78" i="11" s="1"/>
  <c r="F75" i="11"/>
  <c r="L75" i="11" s="1"/>
  <c r="M75" i="11" s="1"/>
  <c r="K74" i="8"/>
  <c r="O74" i="8" s="1"/>
  <c r="F49" i="11"/>
  <c r="L49" i="11" s="1"/>
  <c r="M49" i="11" s="1"/>
  <c r="F47" i="11"/>
  <c r="L47" i="11" s="1"/>
  <c r="M47" i="11" s="1"/>
  <c r="F39" i="11"/>
  <c r="F31" i="11"/>
  <c r="F20" i="11"/>
  <c r="L20" i="11" s="1"/>
  <c r="F17" i="11"/>
  <c r="L17" i="11" s="1"/>
  <c r="F16" i="11"/>
  <c r="L16" i="11" s="1"/>
  <c r="M16" i="11" s="1"/>
  <c r="T144" i="7"/>
  <c r="O137" i="1"/>
  <c r="T132" i="7"/>
  <c r="O122" i="1"/>
  <c r="O124" i="1"/>
  <c r="F124" i="11"/>
  <c r="O125" i="1"/>
  <c r="F125" i="11"/>
  <c r="J125" i="11" s="1"/>
  <c r="O126" i="1"/>
  <c r="F126" i="11"/>
  <c r="O129" i="1"/>
  <c r="F129" i="11"/>
  <c r="O130" i="1"/>
  <c r="F130" i="11"/>
  <c r="J130" i="11" s="1"/>
  <c r="O131" i="1"/>
  <c r="F131" i="11"/>
  <c r="K125" i="8"/>
  <c r="K131" i="8"/>
  <c r="K124" i="8"/>
  <c r="O124" i="8" s="1"/>
  <c r="K130" i="8"/>
  <c r="F123" i="11"/>
  <c r="J123" i="11" s="1"/>
  <c r="F127" i="11"/>
  <c r="L127" i="11" s="1"/>
  <c r="M127" i="11" s="1"/>
  <c r="F128" i="11"/>
  <c r="L128" i="11" s="1"/>
  <c r="M128" i="11" s="1"/>
  <c r="K129" i="8"/>
  <c r="K126" i="8"/>
  <c r="O126" i="8" s="1"/>
  <c r="T119" i="7"/>
  <c r="O113" i="1"/>
  <c r="O116" i="1"/>
  <c r="F116" i="11"/>
  <c r="J116" i="11" s="1"/>
  <c r="K116" i="8"/>
  <c r="O116" i="8" s="1"/>
  <c r="F104" i="11"/>
  <c r="L104" i="11" s="1"/>
  <c r="M104" i="11" s="1"/>
  <c r="F107" i="11"/>
  <c r="L107" i="11" s="1"/>
  <c r="M107" i="11" s="1"/>
  <c r="F109" i="11"/>
  <c r="L109" i="11" s="1"/>
  <c r="M109" i="11" s="1"/>
  <c r="T110" i="7"/>
  <c r="O104" i="1"/>
  <c r="O106" i="1"/>
  <c r="F106" i="11"/>
  <c r="J106" i="11" s="1"/>
  <c r="O108" i="1"/>
  <c r="F108" i="11"/>
  <c r="F105" i="11"/>
  <c r="L105" i="11" s="1"/>
  <c r="M105" i="11" s="1"/>
  <c r="K108" i="8"/>
  <c r="T101" i="7"/>
  <c r="O99" i="1"/>
  <c r="X101" i="7"/>
  <c r="X133" i="7" s="1"/>
  <c r="O100" i="1"/>
  <c r="F100" i="11"/>
  <c r="K100" i="8"/>
  <c r="T96" i="7"/>
  <c r="O94" i="1"/>
  <c r="F95" i="11"/>
  <c r="L95" i="11" s="1"/>
  <c r="M95" i="11" s="1"/>
  <c r="T91" i="7"/>
  <c r="O86" i="1"/>
  <c r="F86" i="11"/>
  <c r="J86" i="11" s="1"/>
  <c r="F87" i="11"/>
  <c r="L87" i="11" s="1"/>
  <c r="M87" i="11" s="1"/>
  <c r="F88" i="11"/>
  <c r="L88" i="11" s="1"/>
  <c r="M88" i="11" s="1"/>
  <c r="F89" i="11"/>
  <c r="L89" i="11" s="1"/>
  <c r="M89" i="11" s="1"/>
  <c r="F90" i="11"/>
  <c r="L90" i="11" s="1"/>
  <c r="M90" i="11" s="1"/>
  <c r="T81" i="7"/>
  <c r="O74" i="1"/>
  <c r="O76" i="1"/>
  <c r="F76" i="11"/>
  <c r="J76" i="11" s="1"/>
  <c r="O77" i="1"/>
  <c r="F77" i="11"/>
  <c r="K76" i="8"/>
  <c r="K63" i="8"/>
  <c r="O63" i="8" s="1"/>
  <c r="O66" i="1"/>
  <c r="F66" i="11"/>
  <c r="O67" i="1"/>
  <c r="F67" i="11"/>
  <c r="J67" i="11" s="1"/>
  <c r="O68" i="1"/>
  <c r="F68" i="11"/>
  <c r="X71" i="7"/>
  <c r="O69" i="1"/>
  <c r="F69" i="11"/>
  <c r="O70" i="1"/>
  <c r="F70" i="11"/>
  <c r="K67" i="8"/>
  <c r="O67" i="8" s="1"/>
  <c r="F63" i="11"/>
  <c r="L63" i="11" s="1"/>
  <c r="M63" i="11" s="1"/>
  <c r="K69" i="8"/>
  <c r="Z61" i="7"/>
  <c r="T61" i="7"/>
  <c r="O59" i="1"/>
  <c r="F59" i="11"/>
  <c r="J59" i="11" s="1"/>
  <c r="X61" i="7"/>
  <c r="O60" i="1"/>
  <c r="F60" i="11"/>
  <c r="K60" i="8"/>
  <c r="K59" i="8"/>
  <c r="T56" i="7"/>
  <c r="O53" i="1"/>
  <c r="F53" i="11"/>
  <c r="O54" i="1"/>
  <c r="F54" i="11"/>
  <c r="O55" i="1"/>
  <c r="F55" i="11"/>
  <c r="L55" i="11" s="1"/>
  <c r="K53" i="8"/>
  <c r="O53" i="8" s="1"/>
  <c r="T50" i="7"/>
  <c r="O46" i="1"/>
  <c r="O43" i="1"/>
  <c r="F43" i="11"/>
  <c r="U50" i="7"/>
  <c r="K43" i="8"/>
  <c r="O43" i="8" s="1"/>
  <c r="T41" i="7"/>
  <c r="K36" i="8"/>
  <c r="V41" i="7"/>
  <c r="O37" i="1"/>
  <c r="F37" i="11"/>
  <c r="O38" i="1"/>
  <c r="F38" i="11"/>
  <c r="J38" i="11" s="1"/>
  <c r="O40" i="1"/>
  <c r="F40" i="11"/>
  <c r="T21" i="7"/>
  <c r="O16" i="1"/>
  <c r="O18" i="1"/>
  <c r="F18" i="11"/>
  <c r="L18" i="11" s="1"/>
  <c r="O19" i="1"/>
  <c r="F19" i="11"/>
  <c r="K19" i="8"/>
  <c r="O19" i="8" s="1"/>
  <c r="K18" i="8"/>
  <c r="O12" i="1"/>
  <c r="F12" i="11"/>
  <c r="F7" i="11"/>
  <c r="O8" i="1"/>
  <c r="F8" i="11"/>
  <c r="O9" i="1"/>
  <c r="F9" i="11"/>
  <c r="O10" i="1"/>
  <c r="F10" i="11"/>
  <c r="O11" i="1"/>
  <c r="F11" i="11"/>
  <c r="K12" i="8"/>
  <c r="M12" i="8" s="1"/>
  <c r="K8" i="8"/>
  <c r="T164" i="7"/>
  <c r="O160" i="1"/>
  <c r="F160" i="11"/>
  <c r="O161" i="1"/>
  <c r="F161" i="11"/>
  <c r="O163" i="1"/>
  <c r="F163" i="11"/>
  <c r="K160" i="8"/>
  <c r="AD164" i="7"/>
  <c r="K163" i="8"/>
  <c r="O162" i="1"/>
  <c r="F162" i="11"/>
  <c r="L162" i="11" s="1"/>
  <c r="K161" i="8"/>
  <c r="K162" i="8"/>
  <c r="U155" i="7"/>
  <c r="S156" i="7"/>
  <c r="T155" i="7"/>
  <c r="T156" i="7" s="1"/>
  <c r="O147" i="1"/>
  <c r="F147" i="11"/>
  <c r="O148" i="1"/>
  <c r="F148" i="11"/>
  <c r="O151" i="1"/>
  <c r="F151" i="11"/>
  <c r="O152" i="1"/>
  <c r="F152" i="11"/>
  <c r="L152" i="11" s="1"/>
  <c r="K152" i="8"/>
  <c r="O140" i="1"/>
  <c r="F140" i="11"/>
  <c r="K140" i="8"/>
  <c r="O140" i="8" s="1"/>
  <c r="F138" i="11"/>
  <c r="L138" i="11" s="1"/>
  <c r="M138" i="11" s="1"/>
  <c r="F139" i="11"/>
  <c r="L139" i="11" s="1"/>
  <c r="M139" i="11" s="1"/>
  <c r="F141" i="11"/>
  <c r="L141" i="11" s="1"/>
  <c r="M141" i="11" s="1"/>
  <c r="F142" i="11"/>
  <c r="L142" i="11" s="1"/>
  <c r="M142" i="11" s="1"/>
  <c r="K142" i="8"/>
  <c r="J48" i="11"/>
  <c r="O143" i="1"/>
  <c r="F143" i="11"/>
  <c r="K143" i="8"/>
  <c r="O143" i="8" s="1"/>
  <c r="K138" i="8"/>
  <c r="O138" i="8" s="1"/>
  <c r="K141" i="8"/>
  <c r="O141" i="8" s="1"/>
  <c r="O10" i="8"/>
  <c r="AC132" i="7"/>
  <c r="AB119" i="7"/>
  <c r="AC110" i="7"/>
  <c r="AA96" i="7"/>
  <c r="AB81" i="7"/>
  <c r="AA61" i="7"/>
  <c r="AB50" i="7"/>
  <c r="J154" i="11"/>
  <c r="K154" i="8"/>
  <c r="O154" i="8" s="1"/>
  <c r="K153" i="8"/>
  <c r="O153" i="8" s="1"/>
  <c r="J153" i="11"/>
  <c r="AB155" i="7"/>
  <c r="K150" i="8"/>
  <c r="J150" i="11"/>
  <c r="K149" i="8"/>
  <c r="O149" i="8" s="1"/>
  <c r="J149" i="11"/>
  <c r="K139" i="8"/>
  <c r="O139" i="8" s="1"/>
  <c r="AC144" i="7"/>
  <c r="Z144" i="7"/>
  <c r="F137" i="11"/>
  <c r="K137" i="8"/>
  <c r="O137" i="8" s="1"/>
  <c r="K128" i="8"/>
  <c r="K127" i="8"/>
  <c r="K123" i="8"/>
  <c r="O123" i="8" s="1"/>
  <c r="Z132" i="7"/>
  <c r="F122" i="11"/>
  <c r="K122" i="8"/>
  <c r="J114" i="11"/>
  <c r="K118" i="8"/>
  <c r="O118" i="8" s="1"/>
  <c r="J118" i="11"/>
  <c r="K117" i="8"/>
  <c r="K115" i="8"/>
  <c r="AC119" i="7"/>
  <c r="K114" i="8"/>
  <c r="O114" i="8" s="1"/>
  <c r="Z119" i="7"/>
  <c r="F113" i="11"/>
  <c r="K113" i="8"/>
  <c r="O113" i="8" s="1"/>
  <c r="K109" i="8"/>
  <c r="K107" i="8"/>
  <c r="O107" i="8" s="1"/>
  <c r="AB110" i="7"/>
  <c r="K105" i="8"/>
  <c r="O105" i="8" s="1"/>
  <c r="K104" i="8"/>
  <c r="Z101" i="7"/>
  <c r="F99" i="11"/>
  <c r="K99" i="8"/>
  <c r="AB96" i="7"/>
  <c r="AC96" i="7"/>
  <c r="K95" i="8"/>
  <c r="Z96" i="7"/>
  <c r="F94" i="11"/>
  <c r="AB91" i="7"/>
  <c r="K90" i="8"/>
  <c r="O90" i="8" s="1"/>
  <c r="K89" i="8"/>
  <c r="K88" i="8"/>
  <c r="K87" i="8"/>
  <c r="K86" i="8"/>
  <c r="K79" i="8"/>
  <c r="O79" i="8" s="1"/>
  <c r="K78" i="8"/>
  <c r="O78" i="8" s="1"/>
  <c r="K75" i="8"/>
  <c r="Z81" i="7"/>
  <c r="F74" i="11"/>
  <c r="K49" i="8"/>
  <c r="K48" i="8"/>
  <c r="K47" i="8"/>
  <c r="Z50" i="7"/>
  <c r="F46" i="11"/>
  <c r="K46" i="8"/>
  <c r="O46" i="8" s="1"/>
  <c r="K39" i="8"/>
  <c r="AA41" i="7"/>
  <c r="K35" i="8"/>
  <c r="K31" i="8"/>
  <c r="O31" i="8" s="1"/>
  <c r="AD21" i="7"/>
  <c r="K20" i="8"/>
  <c r="O20" i="8" s="1"/>
  <c r="K17" i="8"/>
  <c r="O17" i="8" s="1"/>
  <c r="K16" i="8"/>
  <c r="Z21" i="7"/>
  <c r="O37" i="8"/>
  <c r="O163" i="8"/>
  <c r="K7" i="8"/>
  <c r="I16" i="12"/>
  <c r="AA50" i="7"/>
  <c r="AA21" i="7"/>
  <c r="AB21" i="7"/>
  <c r="AC21" i="7"/>
  <c r="O68" i="8"/>
  <c r="X155" i="7"/>
  <c r="X156" i="7" s="1"/>
  <c r="W144" i="7"/>
  <c r="Y132" i="7"/>
  <c r="W91" i="7"/>
  <c r="AA71" i="7"/>
  <c r="AA144" i="7"/>
  <c r="AC81" i="7"/>
  <c r="AC50" i="7"/>
  <c r="AD50" i="7"/>
  <c r="AB41" i="7"/>
  <c r="O40" i="8"/>
  <c r="O9" i="8"/>
  <c r="O70" i="8"/>
  <c r="Z155" i="7"/>
  <c r="AD155" i="7"/>
  <c r="AD156" i="7" s="1"/>
  <c r="AB144" i="7"/>
  <c r="Y144" i="7"/>
  <c r="AA119" i="7"/>
  <c r="Y110" i="7"/>
  <c r="Y91" i="7"/>
  <c r="Z91" i="7"/>
  <c r="AC91" i="7"/>
  <c r="AA91" i="7"/>
  <c r="AA81" i="7"/>
  <c r="AD81" i="7"/>
  <c r="V61" i="7"/>
  <c r="AD61" i="7"/>
  <c r="AB61" i="7"/>
  <c r="AC61" i="7"/>
  <c r="Y21" i="7"/>
  <c r="AD13" i="7"/>
  <c r="Z13" i="7"/>
  <c r="V13" i="7"/>
  <c r="V22" i="7" s="1"/>
  <c r="AA155" i="7"/>
  <c r="V155" i="7"/>
  <c r="V156" i="7" s="1"/>
  <c r="W155" i="7"/>
  <c r="Y155" i="7"/>
  <c r="AC155" i="7"/>
  <c r="AD132" i="7"/>
  <c r="V132" i="7"/>
  <c r="AA132" i="7"/>
  <c r="Z110" i="7"/>
  <c r="V110" i="7"/>
  <c r="AA110" i="7"/>
  <c r="AD110" i="7"/>
  <c r="W110" i="7"/>
  <c r="V91" i="7"/>
  <c r="V81" i="7"/>
  <c r="U81" i="7"/>
  <c r="Y81" i="7"/>
  <c r="Y50" i="7"/>
  <c r="V50" i="7"/>
  <c r="AC41" i="7"/>
  <c r="Z41" i="7"/>
  <c r="W21" i="7"/>
  <c r="U13" i="7"/>
  <c r="U22" i="7" s="1"/>
  <c r="I22" i="11"/>
  <c r="I82" i="11"/>
  <c r="I133" i="11"/>
  <c r="I156" i="11"/>
  <c r="O18" i="8"/>
  <c r="O148" i="8"/>
  <c r="N96" i="8"/>
  <c r="AD119" i="7"/>
  <c r="V119" i="7"/>
  <c r="AA13" i="7"/>
  <c r="W13" i="7"/>
  <c r="T13" i="7"/>
  <c r="X13" i="7"/>
  <c r="X22" i="7" s="1"/>
  <c r="AB13" i="7"/>
  <c r="Y13" i="7"/>
  <c r="AC13" i="7"/>
  <c r="O147" i="8"/>
  <c r="N119" i="8"/>
  <c r="O77" i="8"/>
  <c r="N50" i="8"/>
  <c r="N41" i="8"/>
  <c r="N155" i="8"/>
  <c r="N110" i="8"/>
  <c r="N13" i="8"/>
  <c r="N101" i="8"/>
  <c r="N132" i="8"/>
  <c r="N56" i="8"/>
  <c r="N71" i="8"/>
  <c r="N81" i="8"/>
  <c r="N144" i="8"/>
  <c r="N21" i="8"/>
  <c r="N61" i="8"/>
  <c r="N91" i="8"/>
  <c r="N164" i="8"/>
  <c r="U156" i="7"/>
  <c r="S133" i="7"/>
  <c r="U133" i="7"/>
  <c r="S82" i="7"/>
  <c r="W82" i="7"/>
  <c r="S22" i="7"/>
  <c r="H163" i="8"/>
  <c r="H162" i="8"/>
  <c r="H161" i="8"/>
  <c r="H160" i="8"/>
  <c r="I160" i="8" s="1"/>
  <c r="H154" i="8"/>
  <c r="H153" i="8"/>
  <c r="H152" i="8"/>
  <c r="H151" i="8"/>
  <c r="H150" i="8"/>
  <c r="H149" i="8"/>
  <c r="H148" i="8"/>
  <c r="H147" i="8"/>
  <c r="H143" i="8"/>
  <c r="H142" i="8"/>
  <c r="H141" i="8"/>
  <c r="H140" i="8"/>
  <c r="H139" i="8"/>
  <c r="H138" i="8"/>
  <c r="H137" i="8"/>
  <c r="H131" i="8"/>
  <c r="H130" i="8"/>
  <c r="H129" i="8"/>
  <c r="H128" i="8"/>
  <c r="H127" i="8"/>
  <c r="H126" i="8"/>
  <c r="H125" i="8"/>
  <c r="H124" i="8"/>
  <c r="H123" i="8"/>
  <c r="H122" i="8"/>
  <c r="H107" i="8"/>
  <c r="H106" i="8"/>
  <c r="H105" i="8"/>
  <c r="H104" i="8"/>
  <c r="H100" i="8"/>
  <c r="H99" i="8"/>
  <c r="H95" i="8"/>
  <c r="H94" i="8"/>
  <c r="H90" i="8"/>
  <c r="H89" i="8"/>
  <c r="H88" i="8"/>
  <c r="H87" i="8"/>
  <c r="H86" i="8"/>
  <c r="H80" i="8"/>
  <c r="H79" i="8"/>
  <c r="H78" i="8"/>
  <c r="H77" i="8"/>
  <c r="H76" i="8"/>
  <c r="H75" i="8"/>
  <c r="H74" i="8"/>
  <c r="H70" i="8"/>
  <c r="H69" i="8"/>
  <c r="I69" i="8" s="1"/>
  <c r="H68" i="8"/>
  <c r="H67" i="8"/>
  <c r="H66" i="8"/>
  <c r="I66" i="8" s="1"/>
  <c r="H63" i="8"/>
  <c r="H60" i="8"/>
  <c r="H59" i="8"/>
  <c r="H55" i="8"/>
  <c r="I55" i="8" s="1"/>
  <c r="H54" i="8"/>
  <c r="I54" i="8" s="1"/>
  <c r="H53" i="8"/>
  <c r="H49" i="8"/>
  <c r="H48" i="8"/>
  <c r="I48" i="8" s="1"/>
  <c r="H47" i="8"/>
  <c r="H46" i="8"/>
  <c r="H43" i="8"/>
  <c r="H40" i="8"/>
  <c r="H39" i="8"/>
  <c r="H38" i="8"/>
  <c r="H37" i="8"/>
  <c r="H36" i="8"/>
  <c r="H35" i="8"/>
  <c r="H31" i="8"/>
  <c r="H20" i="8"/>
  <c r="H19" i="8"/>
  <c r="H18" i="8"/>
  <c r="H17" i="8"/>
  <c r="H16" i="8"/>
  <c r="H8" i="8"/>
  <c r="I8" i="8" s="1"/>
  <c r="H9" i="8"/>
  <c r="H10" i="8"/>
  <c r="H11" i="8"/>
  <c r="I11" i="8" s="1"/>
  <c r="H12" i="8"/>
  <c r="H7" i="8"/>
  <c r="F162" i="8"/>
  <c r="G162" i="8" s="1"/>
  <c r="F160" i="8"/>
  <c r="F77" i="8"/>
  <c r="F68" i="8"/>
  <c r="F67" i="8"/>
  <c r="F66" i="8"/>
  <c r="F39" i="8"/>
  <c r="F37" i="8"/>
  <c r="F31" i="8"/>
  <c r="F8" i="8"/>
  <c r="G8" i="8" s="1"/>
  <c r="F9" i="8"/>
  <c r="F10" i="8"/>
  <c r="F11" i="8"/>
  <c r="F12" i="8"/>
  <c r="F7" i="8"/>
  <c r="E163" i="8"/>
  <c r="E162" i="8"/>
  <c r="E161" i="8"/>
  <c r="E160" i="8"/>
  <c r="E154" i="8"/>
  <c r="E153" i="8"/>
  <c r="E152" i="8"/>
  <c r="E151" i="8"/>
  <c r="E150" i="8"/>
  <c r="E149" i="8"/>
  <c r="E148" i="8"/>
  <c r="E147" i="8"/>
  <c r="E143" i="8"/>
  <c r="E142" i="8"/>
  <c r="E141" i="8"/>
  <c r="E140" i="8"/>
  <c r="E139" i="8"/>
  <c r="E138" i="8"/>
  <c r="E137" i="8"/>
  <c r="E131" i="8"/>
  <c r="E130" i="8"/>
  <c r="E129" i="8"/>
  <c r="E128" i="8"/>
  <c r="E127" i="8"/>
  <c r="E126" i="8"/>
  <c r="E125" i="8"/>
  <c r="E124" i="8"/>
  <c r="E123" i="8"/>
  <c r="E122" i="8"/>
  <c r="E118" i="8"/>
  <c r="I118" i="8" s="1"/>
  <c r="E117" i="8"/>
  <c r="I117" i="8" s="1"/>
  <c r="E116" i="8"/>
  <c r="I116" i="8" s="1"/>
  <c r="E115" i="8"/>
  <c r="I115" i="8" s="1"/>
  <c r="E114" i="8"/>
  <c r="I114" i="8" s="1"/>
  <c r="E113" i="8"/>
  <c r="I113" i="8" s="1"/>
  <c r="E109" i="8"/>
  <c r="I109" i="8" s="1"/>
  <c r="E108" i="8"/>
  <c r="I108" i="8" s="1"/>
  <c r="E107" i="8"/>
  <c r="E106" i="8"/>
  <c r="E105" i="8"/>
  <c r="E104" i="8"/>
  <c r="E100" i="8"/>
  <c r="E99" i="8"/>
  <c r="E95" i="8"/>
  <c r="E94" i="8"/>
  <c r="E90" i="8"/>
  <c r="E89" i="8"/>
  <c r="E88" i="8"/>
  <c r="E87" i="8"/>
  <c r="E86" i="8"/>
  <c r="E80" i="8"/>
  <c r="E79" i="8"/>
  <c r="E78" i="8"/>
  <c r="E77" i="8"/>
  <c r="E76" i="8"/>
  <c r="E75" i="8"/>
  <c r="E74" i="8"/>
  <c r="E70" i="8"/>
  <c r="E69" i="8"/>
  <c r="E68" i="8"/>
  <c r="E67" i="8"/>
  <c r="E66" i="8"/>
  <c r="E63" i="8"/>
  <c r="E60" i="8"/>
  <c r="E59" i="8"/>
  <c r="E55" i="8"/>
  <c r="E54" i="8"/>
  <c r="E53" i="8"/>
  <c r="E49" i="8"/>
  <c r="E48" i="8"/>
  <c r="E47" i="8"/>
  <c r="E46" i="8"/>
  <c r="E43" i="8"/>
  <c r="E31" i="8"/>
  <c r="E40" i="8"/>
  <c r="E39" i="8"/>
  <c r="E38" i="8"/>
  <c r="E37" i="8"/>
  <c r="E36" i="8"/>
  <c r="E35" i="8"/>
  <c r="E20" i="8"/>
  <c r="E19" i="8"/>
  <c r="E18" i="8"/>
  <c r="E17" i="8"/>
  <c r="E16" i="8"/>
  <c r="E8" i="8"/>
  <c r="E9" i="8"/>
  <c r="E10" i="8"/>
  <c r="E11" i="8"/>
  <c r="E12" i="8"/>
  <c r="E7" i="8"/>
  <c r="E3" i="8"/>
  <c r="D133" i="8"/>
  <c r="H119" i="8"/>
  <c r="R163" i="7"/>
  <c r="R162" i="7"/>
  <c r="R161" i="7"/>
  <c r="R160" i="7"/>
  <c r="R154" i="7"/>
  <c r="R153" i="7"/>
  <c r="R152" i="7"/>
  <c r="R151" i="7"/>
  <c r="R150" i="7"/>
  <c r="R149" i="7"/>
  <c r="R148" i="7"/>
  <c r="R147" i="7"/>
  <c r="R143" i="7"/>
  <c r="R142" i="7"/>
  <c r="R141" i="7"/>
  <c r="R140" i="7"/>
  <c r="R139" i="7"/>
  <c r="R138" i="7"/>
  <c r="R137" i="7"/>
  <c r="R131" i="7"/>
  <c r="R130" i="7"/>
  <c r="R129" i="7"/>
  <c r="R128" i="7"/>
  <c r="R127" i="7"/>
  <c r="R126" i="7"/>
  <c r="R125" i="7"/>
  <c r="R124" i="7"/>
  <c r="R123" i="7"/>
  <c r="R122" i="7"/>
  <c r="R118" i="7"/>
  <c r="R117" i="7"/>
  <c r="R116" i="7"/>
  <c r="R115" i="7"/>
  <c r="R114" i="7"/>
  <c r="R113" i="7"/>
  <c r="R109" i="7"/>
  <c r="R108" i="7"/>
  <c r="R107" i="7"/>
  <c r="R106" i="7"/>
  <c r="R105" i="7"/>
  <c r="R104" i="7"/>
  <c r="R100" i="7"/>
  <c r="R99" i="7"/>
  <c r="R95" i="7"/>
  <c r="R94" i="7"/>
  <c r="R90" i="7"/>
  <c r="R89" i="7"/>
  <c r="R88" i="7"/>
  <c r="R87" i="7"/>
  <c r="R86" i="7"/>
  <c r="R80" i="7"/>
  <c r="R79" i="7"/>
  <c r="R78" i="7"/>
  <c r="R77" i="7"/>
  <c r="R76" i="7"/>
  <c r="R75" i="7"/>
  <c r="R74" i="7"/>
  <c r="R70" i="7"/>
  <c r="R69" i="7"/>
  <c r="R68" i="7"/>
  <c r="R67" i="7"/>
  <c r="R66" i="7"/>
  <c r="R63" i="7"/>
  <c r="R60" i="7"/>
  <c r="R59" i="7"/>
  <c r="R55" i="7"/>
  <c r="R54" i="7"/>
  <c r="R53" i="7"/>
  <c r="R49" i="7"/>
  <c r="R48" i="7"/>
  <c r="R47" i="7"/>
  <c r="R46" i="7"/>
  <c r="R43" i="7"/>
  <c r="R40" i="7"/>
  <c r="R39" i="7"/>
  <c r="R38" i="7"/>
  <c r="R37" i="7"/>
  <c r="R36" i="7"/>
  <c r="R35" i="7"/>
  <c r="R31" i="7"/>
  <c r="R20" i="7"/>
  <c r="R19" i="7"/>
  <c r="R18" i="7"/>
  <c r="R17" i="7"/>
  <c r="R16" i="7"/>
  <c r="R12" i="7"/>
  <c r="R11" i="7"/>
  <c r="R10" i="7"/>
  <c r="R9" i="7"/>
  <c r="R8" i="7"/>
  <c r="Q164" i="7"/>
  <c r="P164" i="7"/>
  <c r="O164" i="7"/>
  <c r="N164" i="7"/>
  <c r="M164" i="7"/>
  <c r="L164" i="7"/>
  <c r="K164" i="7"/>
  <c r="J164" i="7"/>
  <c r="I164" i="7"/>
  <c r="H164" i="7"/>
  <c r="G164" i="7"/>
  <c r="F164" i="7"/>
  <c r="Q155" i="7"/>
  <c r="P155" i="7"/>
  <c r="O155" i="7"/>
  <c r="N155" i="7"/>
  <c r="M155" i="7"/>
  <c r="L155" i="7"/>
  <c r="K155" i="7"/>
  <c r="J155" i="7"/>
  <c r="I155" i="7"/>
  <c r="H155" i="7"/>
  <c r="G155" i="7"/>
  <c r="F155" i="7"/>
  <c r="Q144" i="7"/>
  <c r="P144" i="7"/>
  <c r="O144" i="7"/>
  <c r="N144" i="7"/>
  <c r="M144" i="7"/>
  <c r="L144" i="7"/>
  <c r="J144" i="7"/>
  <c r="I144" i="7"/>
  <c r="H144" i="7"/>
  <c r="G144" i="7"/>
  <c r="F144" i="7"/>
  <c r="D133" i="7"/>
  <c r="Q132" i="7"/>
  <c r="P132" i="7"/>
  <c r="O132" i="7"/>
  <c r="N132" i="7"/>
  <c r="M132" i="7"/>
  <c r="L132" i="7"/>
  <c r="K132" i="7"/>
  <c r="J132" i="7"/>
  <c r="I132" i="7"/>
  <c r="H132" i="7"/>
  <c r="G132" i="7"/>
  <c r="F132" i="7"/>
  <c r="Q119" i="7"/>
  <c r="P119" i="7"/>
  <c r="O119" i="7"/>
  <c r="N119" i="7"/>
  <c r="M119" i="7"/>
  <c r="L119" i="7"/>
  <c r="K119" i="7"/>
  <c r="J119" i="7"/>
  <c r="I119" i="7"/>
  <c r="H119" i="7"/>
  <c r="G119" i="7"/>
  <c r="F119" i="7"/>
  <c r="Q110" i="7"/>
  <c r="P110" i="7"/>
  <c r="O110" i="7"/>
  <c r="N110" i="7"/>
  <c r="M110" i="7"/>
  <c r="L110" i="7"/>
  <c r="K110" i="7"/>
  <c r="J110" i="7"/>
  <c r="I110" i="7"/>
  <c r="H110" i="7"/>
  <c r="G110" i="7"/>
  <c r="F110" i="7"/>
  <c r="Q101" i="7"/>
  <c r="P101" i="7"/>
  <c r="O101" i="7"/>
  <c r="N101" i="7"/>
  <c r="M101" i="7"/>
  <c r="L101" i="7"/>
  <c r="K101" i="7"/>
  <c r="J101" i="7"/>
  <c r="I101" i="7"/>
  <c r="H101" i="7"/>
  <c r="G101" i="7"/>
  <c r="F101" i="7"/>
  <c r="Q96" i="7"/>
  <c r="P96" i="7"/>
  <c r="O96" i="7"/>
  <c r="N96" i="7"/>
  <c r="M96" i="7"/>
  <c r="L96" i="7"/>
  <c r="K96" i="7"/>
  <c r="J96" i="7"/>
  <c r="I96" i="7"/>
  <c r="H96" i="7"/>
  <c r="G96" i="7"/>
  <c r="F96" i="7"/>
  <c r="Q91" i="7"/>
  <c r="P91" i="7"/>
  <c r="O91" i="7"/>
  <c r="N91" i="7"/>
  <c r="M91" i="7"/>
  <c r="L91" i="7"/>
  <c r="K91" i="7"/>
  <c r="J91" i="7"/>
  <c r="I91" i="7"/>
  <c r="H91" i="7"/>
  <c r="G91" i="7"/>
  <c r="F91" i="7"/>
  <c r="Q81" i="7"/>
  <c r="P81" i="7"/>
  <c r="O81" i="7"/>
  <c r="N81" i="7"/>
  <c r="M81" i="7"/>
  <c r="L81" i="7"/>
  <c r="K81" i="7"/>
  <c r="J81" i="7"/>
  <c r="I81" i="7"/>
  <c r="H81" i="7"/>
  <c r="G81" i="7"/>
  <c r="F81" i="7"/>
  <c r="Q71" i="7"/>
  <c r="P71" i="7"/>
  <c r="O71" i="7"/>
  <c r="N71" i="7"/>
  <c r="M71" i="7"/>
  <c r="L71" i="7"/>
  <c r="K71" i="7"/>
  <c r="J71" i="7"/>
  <c r="I71" i="7"/>
  <c r="H71" i="7"/>
  <c r="G71" i="7"/>
  <c r="F71" i="7"/>
  <c r="Q61" i="7"/>
  <c r="P61" i="7"/>
  <c r="O61" i="7"/>
  <c r="N61" i="7"/>
  <c r="M61" i="7"/>
  <c r="L61" i="7"/>
  <c r="K61" i="7"/>
  <c r="J61" i="7"/>
  <c r="I61" i="7"/>
  <c r="H61" i="7"/>
  <c r="G61" i="7"/>
  <c r="F61" i="7"/>
  <c r="Q56" i="7"/>
  <c r="P56" i="7"/>
  <c r="O56" i="7"/>
  <c r="N56" i="7"/>
  <c r="M56" i="7"/>
  <c r="L56" i="7"/>
  <c r="K56" i="7"/>
  <c r="J56" i="7"/>
  <c r="I56" i="7"/>
  <c r="H56" i="7"/>
  <c r="G56" i="7"/>
  <c r="F56" i="7"/>
  <c r="Q50" i="7"/>
  <c r="P50" i="7"/>
  <c r="O50" i="7"/>
  <c r="N50" i="7"/>
  <c r="M50" i="7"/>
  <c r="L50" i="7"/>
  <c r="K50" i="7"/>
  <c r="J50" i="7"/>
  <c r="I50" i="7"/>
  <c r="H50" i="7"/>
  <c r="G50" i="7"/>
  <c r="F50" i="7"/>
  <c r="Q41" i="7"/>
  <c r="Q82" i="7" s="1"/>
  <c r="P41" i="7"/>
  <c r="P82" i="7" s="1"/>
  <c r="O41" i="7"/>
  <c r="N41" i="7"/>
  <c r="M41" i="7"/>
  <c r="M82" i="7" s="1"/>
  <c r="L41" i="7"/>
  <c r="K41" i="7"/>
  <c r="J41" i="7"/>
  <c r="I41" i="7"/>
  <c r="H41" i="7"/>
  <c r="G41" i="7"/>
  <c r="F41" i="7"/>
  <c r="Q21" i="7"/>
  <c r="P21" i="7"/>
  <c r="O21" i="7"/>
  <c r="N21" i="7"/>
  <c r="M21" i="7"/>
  <c r="L21" i="7"/>
  <c r="K21" i="7"/>
  <c r="J21" i="7"/>
  <c r="I21" i="7"/>
  <c r="H21" i="7"/>
  <c r="G21" i="7"/>
  <c r="F21" i="7"/>
  <c r="Q13" i="7"/>
  <c r="P13" i="7"/>
  <c r="O13" i="7"/>
  <c r="N13" i="7"/>
  <c r="M13" i="7"/>
  <c r="L13" i="7"/>
  <c r="K13" i="7"/>
  <c r="J13" i="7"/>
  <c r="I13" i="7"/>
  <c r="H13" i="7"/>
  <c r="G13" i="7"/>
  <c r="F13" i="7"/>
  <c r="R7" i="7"/>
  <c r="H37" i="11" l="1"/>
  <c r="M7" i="8"/>
  <c r="I67" i="8"/>
  <c r="M67" i="8"/>
  <c r="H66" i="11"/>
  <c r="H67" i="11"/>
  <c r="I38" i="8"/>
  <c r="L13" i="8"/>
  <c r="G13" i="11"/>
  <c r="R56" i="7"/>
  <c r="J36" i="11"/>
  <c r="J35" i="11"/>
  <c r="O76" i="8"/>
  <c r="O161" i="8"/>
  <c r="O130" i="8"/>
  <c r="J39" i="11"/>
  <c r="O59" i="8"/>
  <c r="O36" i="8"/>
  <c r="O125" i="8"/>
  <c r="H9" i="11"/>
  <c r="J9" i="11"/>
  <c r="J20" i="11"/>
  <c r="L161" i="11"/>
  <c r="M161" i="11" s="1"/>
  <c r="J161" i="11"/>
  <c r="L19" i="11"/>
  <c r="L21" i="11" s="1"/>
  <c r="L15" i="12" s="1"/>
  <c r="J19" i="11"/>
  <c r="L68" i="11"/>
  <c r="M68" i="11" s="1"/>
  <c r="J68" i="11"/>
  <c r="H68" i="11"/>
  <c r="J75" i="11"/>
  <c r="Z22" i="7"/>
  <c r="AB156" i="7"/>
  <c r="J80" i="11"/>
  <c r="T133" i="7"/>
  <c r="J49" i="11"/>
  <c r="J78" i="11"/>
  <c r="L79" i="11"/>
  <c r="M79" i="11" s="1"/>
  <c r="J47" i="11"/>
  <c r="X82" i="7"/>
  <c r="X166" i="7" s="1"/>
  <c r="X167" i="7" s="1"/>
  <c r="L39" i="11"/>
  <c r="M39" i="11" s="1"/>
  <c r="U82" i="7"/>
  <c r="U166" i="7" s="1"/>
  <c r="U167" i="7" s="1"/>
  <c r="J31" i="11"/>
  <c r="T82" i="7"/>
  <c r="H31" i="11"/>
  <c r="J17" i="11"/>
  <c r="J16" i="11"/>
  <c r="T22" i="7"/>
  <c r="O100" i="8"/>
  <c r="J128" i="11"/>
  <c r="O129" i="8"/>
  <c r="Z156" i="7"/>
  <c r="J104" i="11"/>
  <c r="J127" i="11"/>
  <c r="L130" i="11"/>
  <c r="M130" i="11" s="1"/>
  <c r="L126" i="11"/>
  <c r="M126" i="11" s="1"/>
  <c r="J126" i="11"/>
  <c r="L124" i="11"/>
  <c r="M124" i="11" s="1"/>
  <c r="J124" i="11"/>
  <c r="O131" i="8"/>
  <c r="J95" i="11"/>
  <c r="F110" i="11"/>
  <c r="L131" i="11"/>
  <c r="M131" i="11" s="1"/>
  <c r="J131" i="11"/>
  <c r="L129" i="11"/>
  <c r="M129" i="11" s="1"/>
  <c r="J129" i="11"/>
  <c r="L125" i="11"/>
  <c r="M125" i="11" s="1"/>
  <c r="J107" i="11"/>
  <c r="O108" i="8"/>
  <c r="J105" i="11"/>
  <c r="J109" i="11"/>
  <c r="L106" i="11"/>
  <c r="L108" i="11"/>
  <c r="M108" i="11" s="1"/>
  <c r="J108" i="11"/>
  <c r="J89" i="11"/>
  <c r="L100" i="11"/>
  <c r="M100" i="11" s="1"/>
  <c r="J100" i="11"/>
  <c r="S166" i="7"/>
  <c r="S167" i="7" s="1"/>
  <c r="J88" i="11"/>
  <c r="F91" i="11"/>
  <c r="J91" i="11" s="1"/>
  <c r="W133" i="7"/>
  <c r="J63" i="11"/>
  <c r="J87" i="11"/>
  <c r="J90" i="11"/>
  <c r="K71" i="8"/>
  <c r="O71" i="8" s="1"/>
  <c r="J77" i="11"/>
  <c r="H77" i="11"/>
  <c r="L76" i="11"/>
  <c r="M76" i="11" s="1"/>
  <c r="L69" i="11"/>
  <c r="M69" i="11" s="1"/>
  <c r="L70" i="11"/>
  <c r="M70" i="11" s="1"/>
  <c r="F71" i="11"/>
  <c r="J71" i="11" s="1"/>
  <c r="K56" i="8"/>
  <c r="O56" i="8" s="1"/>
  <c r="O150" i="8"/>
  <c r="L59" i="11"/>
  <c r="F61" i="11"/>
  <c r="K61" i="8"/>
  <c r="O60" i="8"/>
  <c r="L60" i="11"/>
  <c r="M60" i="11" s="1"/>
  <c r="J60" i="11"/>
  <c r="L53" i="11"/>
  <c r="J53" i="11"/>
  <c r="F56" i="11"/>
  <c r="L54" i="11"/>
  <c r="M54" i="11" s="1"/>
  <c r="J43" i="11"/>
  <c r="L43" i="11"/>
  <c r="M43" i="11" s="1"/>
  <c r="O12" i="8"/>
  <c r="L38" i="11"/>
  <c r="M38" i="11" s="1"/>
  <c r="F41" i="11"/>
  <c r="L40" i="11"/>
  <c r="M40" i="11" s="1"/>
  <c r="L37" i="11"/>
  <c r="M37" i="11" s="1"/>
  <c r="J37" i="11"/>
  <c r="F155" i="11"/>
  <c r="F21" i="11"/>
  <c r="F15" i="12" s="1"/>
  <c r="J15" i="12" s="1"/>
  <c r="O142" i="8"/>
  <c r="J7" i="11"/>
  <c r="H7" i="11"/>
  <c r="H12" i="11"/>
  <c r="J12" i="11"/>
  <c r="F13" i="11"/>
  <c r="F14" i="12" s="1"/>
  <c r="J14" i="12" s="1"/>
  <c r="K164" i="8"/>
  <c r="O164" i="8" s="1"/>
  <c r="L163" i="11"/>
  <c r="M163" i="11" s="1"/>
  <c r="L160" i="11"/>
  <c r="F164" i="11"/>
  <c r="J164" i="11" s="1"/>
  <c r="R164" i="7"/>
  <c r="J139" i="11"/>
  <c r="L148" i="11"/>
  <c r="M148" i="11" s="1"/>
  <c r="J148" i="11"/>
  <c r="J141" i="11"/>
  <c r="O47" i="8"/>
  <c r="L151" i="11"/>
  <c r="M151" i="11" s="1"/>
  <c r="J151" i="11"/>
  <c r="L147" i="11"/>
  <c r="J147" i="11"/>
  <c r="L143" i="11"/>
  <c r="M143" i="11" s="1"/>
  <c r="J143" i="11"/>
  <c r="I60" i="8"/>
  <c r="O48" i="8"/>
  <c r="J142" i="11"/>
  <c r="L140" i="11"/>
  <c r="M140" i="11" s="1"/>
  <c r="J140" i="11"/>
  <c r="I47" i="8"/>
  <c r="J138" i="11"/>
  <c r="G10" i="8"/>
  <c r="I10" i="8"/>
  <c r="P156" i="7"/>
  <c r="P22" i="7"/>
  <c r="G67" i="8"/>
  <c r="G66" i="8"/>
  <c r="AC156" i="7"/>
  <c r="AB133" i="7"/>
  <c r="AD22" i="7"/>
  <c r="N22" i="7"/>
  <c r="O122" i="8"/>
  <c r="O128" i="8"/>
  <c r="K155" i="8"/>
  <c r="O127" i="8"/>
  <c r="K144" i="8"/>
  <c r="AA156" i="7"/>
  <c r="L137" i="11"/>
  <c r="F144" i="11"/>
  <c r="J137" i="11"/>
  <c r="O117" i="8"/>
  <c r="K132" i="8"/>
  <c r="O115" i="8"/>
  <c r="L122" i="11"/>
  <c r="F132" i="11"/>
  <c r="J122" i="11"/>
  <c r="K101" i="8"/>
  <c r="AC133" i="7"/>
  <c r="K119" i="8"/>
  <c r="O119" i="8" s="1"/>
  <c r="J113" i="11"/>
  <c r="F119" i="11"/>
  <c r="O109" i="8"/>
  <c r="K110" i="8"/>
  <c r="O110" i="8" s="1"/>
  <c r="O88" i="8"/>
  <c r="O104" i="8"/>
  <c r="K96" i="8"/>
  <c r="O99" i="8"/>
  <c r="F101" i="11"/>
  <c r="J99" i="11"/>
  <c r="O39" i="8"/>
  <c r="O87" i="8"/>
  <c r="O95" i="8"/>
  <c r="J94" i="11"/>
  <c r="F96" i="11"/>
  <c r="O89" i="8"/>
  <c r="K91" i="8"/>
  <c r="O91" i="8" s="1"/>
  <c r="O86" i="8"/>
  <c r="K41" i="8"/>
  <c r="O41" i="8" s="1"/>
  <c r="O49" i="8"/>
  <c r="O75" i="8"/>
  <c r="K81" i="8"/>
  <c r="L74" i="11"/>
  <c r="J74" i="11"/>
  <c r="F81" i="11"/>
  <c r="AA82" i="7"/>
  <c r="O35" i="8"/>
  <c r="K13" i="8"/>
  <c r="O13" i="8" s="1"/>
  <c r="K50" i="8"/>
  <c r="O50" i="8" s="1"/>
  <c r="Z82" i="7"/>
  <c r="L46" i="11"/>
  <c r="J46" i="11"/>
  <c r="F50" i="11"/>
  <c r="K21" i="8"/>
  <c r="M31" i="8"/>
  <c r="O7" i="8"/>
  <c r="O16" i="8"/>
  <c r="AC22" i="7"/>
  <c r="AB22" i="7"/>
  <c r="G37" i="8"/>
  <c r="I163" i="8"/>
  <c r="I37" i="8"/>
  <c r="I76" i="8"/>
  <c r="I106" i="8"/>
  <c r="L156" i="7"/>
  <c r="L82" i="7"/>
  <c r="AA22" i="7"/>
  <c r="L22" i="7"/>
  <c r="I59" i="8"/>
  <c r="W156" i="7"/>
  <c r="Y133" i="7"/>
  <c r="J22" i="7"/>
  <c r="AB82" i="7"/>
  <c r="AC82" i="7"/>
  <c r="G9" i="8"/>
  <c r="I9" i="8"/>
  <c r="I124" i="8"/>
  <c r="I70" i="8"/>
  <c r="Y22" i="7"/>
  <c r="I40" i="8"/>
  <c r="I39" i="8"/>
  <c r="Y156" i="7"/>
  <c r="Z133" i="7"/>
  <c r="AD82" i="7"/>
  <c r="V82" i="7"/>
  <c r="I82" i="7"/>
  <c r="I12" i="8"/>
  <c r="I36" i="8"/>
  <c r="G39" i="8"/>
  <c r="H156" i="7"/>
  <c r="AA133" i="7"/>
  <c r="V133" i="7"/>
  <c r="AD133" i="7"/>
  <c r="R96" i="7"/>
  <c r="Y82" i="7"/>
  <c r="H82" i="7"/>
  <c r="W22" i="7"/>
  <c r="H22" i="7"/>
  <c r="I128" i="8"/>
  <c r="H101" i="8"/>
  <c r="I166" i="11"/>
  <c r="I19" i="12" s="1"/>
  <c r="I20" i="12" s="1"/>
  <c r="I75" i="8"/>
  <c r="I18" i="8"/>
  <c r="I80" i="8"/>
  <c r="I138" i="8"/>
  <c r="I20" i="8"/>
  <c r="I130" i="8"/>
  <c r="H144" i="8"/>
  <c r="I148" i="8"/>
  <c r="I152" i="8"/>
  <c r="H132" i="8"/>
  <c r="H155" i="8"/>
  <c r="I143" i="8"/>
  <c r="I154" i="8"/>
  <c r="E61" i="8"/>
  <c r="E96" i="8"/>
  <c r="I147" i="8"/>
  <c r="I151" i="8"/>
  <c r="I150" i="8"/>
  <c r="I141" i="8"/>
  <c r="I139" i="8"/>
  <c r="I131" i="8"/>
  <c r="H56" i="8"/>
  <c r="N22" i="8"/>
  <c r="N133" i="8"/>
  <c r="N82" i="8"/>
  <c r="N156" i="8"/>
  <c r="I49" i="8"/>
  <c r="H21" i="8"/>
  <c r="H50" i="8"/>
  <c r="H71" i="8"/>
  <c r="H164" i="8"/>
  <c r="I16" i="8"/>
  <c r="H61" i="8"/>
  <c r="I95" i="8"/>
  <c r="I105" i="8"/>
  <c r="H41" i="8"/>
  <c r="I162" i="8"/>
  <c r="I89" i="8"/>
  <c r="I19" i="8"/>
  <c r="I77" i="8"/>
  <c r="I90" i="8"/>
  <c r="I100" i="8"/>
  <c r="I125" i="8"/>
  <c r="I129" i="8"/>
  <c r="H81" i="8"/>
  <c r="H96" i="8"/>
  <c r="G11" i="8"/>
  <c r="G160" i="8"/>
  <c r="I46" i="8"/>
  <c r="I79" i="8"/>
  <c r="E21" i="8"/>
  <c r="E50" i="8"/>
  <c r="E164" i="8"/>
  <c r="I43" i="8"/>
  <c r="I87" i="8"/>
  <c r="I104" i="8"/>
  <c r="R110" i="7"/>
  <c r="N156" i="7"/>
  <c r="R41" i="7"/>
  <c r="I149" i="8"/>
  <c r="R71" i="7"/>
  <c r="E81" i="8"/>
  <c r="E110" i="8"/>
  <c r="I63" i="8"/>
  <c r="I122" i="8"/>
  <c r="I137" i="8"/>
  <c r="J156" i="7"/>
  <c r="R50" i="7"/>
  <c r="R144" i="7"/>
  <c r="I142" i="8"/>
  <c r="I153" i="8"/>
  <c r="E41" i="8"/>
  <c r="E71" i="8"/>
  <c r="H110" i="8"/>
  <c r="I107" i="8"/>
  <c r="H91" i="8"/>
  <c r="I78" i="8"/>
  <c r="I35" i="8"/>
  <c r="I17" i="8"/>
  <c r="H13" i="8"/>
  <c r="F13" i="8"/>
  <c r="G12" i="8"/>
  <c r="I161" i="8"/>
  <c r="E155" i="8"/>
  <c r="E144" i="8"/>
  <c r="I140" i="8"/>
  <c r="E91" i="8"/>
  <c r="I91" i="8" s="1"/>
  <c r="I88" i="8"/>
  <c r="I74" i="8"/>
  <c r="G77" i="8"/>
  <c r="G68" i="8"/>
  <c r="I68" i="8"/>
  <c r="I53" i="8"/>
  <c r="E56" i="8"/>
  <c r="E13" i="8"/>
  <c r="G7" i="8"/>
  <c r="I99" i="8"/>
  <c r="I7" i="8"/>
  <c r="I86" i="8"/>
  <c r="I94" i="8"/>
  <c r="E101" i="8"/>
  <c r="I126" i="8"/>
  <c r="I127" i="8"/>
  <c r="I123" i="8"/>
  <c r="R155" i="7"/>
  <c r="R132" i="7"/>
  <c r="R119" i="7"/>
  <c r="R101" i="7"/>
  <c r="R91" i="7"/>
  <c r="R81" i="7"/>
  <c r="R61" i="7"/>
  <c r="F22" i="7"/>
  <c r="R21" i="7"/>
  <c r="I156" i="7"/>
  <c r="M156" i="7"/>
  <c r="Q156" i="7"/>
  <c r="F156" i="7"/>
  <c r="G156" i="7"/>
  <c r="K156" i="7"/>
  <c r="O156" i="7"/>
  <c r="I133" i="7"/>
  <c r="Q133" i="7"/>
  <c r="F133" i="7"/>
  <c r="J133" i="7"/>
  <c r="N133" i="7"/>
  <c r="M133" i="7"/>
  <c r="G133" i="7"/>
  <c r="K133" i="7"/>
  <c r="O133" i="7"/>
  <c r="H133" i="7"/>
  <c r="L133" i="7"/>
  <c r="P133" i="7"/>
  <c r="F82" i="7"/>
  <c r="J82" i="7"/>
  <c r="N82" i="7"/>
  <c r="G82" i="7"/>
  <c r="K82" i="7"/>
  <c r="O82" i="7"/>
  <c r="G22" i="7"/>
  <c r="K22" i="7"/>
  <c r="O22" i="7"/>
  <c r="R13" i="7"/>
  <c r="Q22" i="7"/>
  <c r="M22" i="7"/>
  <c r="I22" i="7"/>
  <c r="I100" i="4"/>
  <c r="J39" i="4"/>
  <c r="H39" i="4" s="1"/>
  <c r="I39" i="4"/>
  <c r="R37" i="4"/>
  <c r="H148" i="4"/>
  <c r="Q161" i="4"/>
  <c r="N161" i="4"/>
  <c r="F161" i="8" s="1"/>
  <c r="G161" i="8" s="1"/>
  <c r="K161" i="4"/>
  <c r="H161" i="4"/>
  <c r="R77" i="4"/>
  <c r="L77" i="11" s="1"/>
  <c r="M77" i="11" s="1"/>
  <c r="R68" i="4"/>
  <c r="R67" i="4"/>
  <c r="L67" i="11" s="1"/>
  <c r="M67" i="11" s="1"/>
  <c r="R66" i="4"/>
  <c r="L66" i="11" s="1"/>
  <c r="R12" i="4"/>
  <c r="L12" i="11" s="1"/>
  <c r="M12" i="11" s="1"/>
  <c r="R11" i="4"/>
  <c r="L11" i="11" s="1"/>
  <c r="M11" i="11" s="1"/>
  <c r="R10" i="4"/>
  <c r="L10" i="11" s="1"/>
  <c r="M10" i="11" s="1"/>
  <c r="R8" i="4"/>
  <c r="M8" i="11" s="1"/>
  <c r="R9" i="4"/>
  <c r="L9" i="11" s="1"/>
  <c r="M9" i="11" s="1"/>
  <c r="R7" i="4"/>
  <c r="L7" i="11" s="1"/>
  <c r="M7" i="11" s="1"/>
  <c r="AB39" i="4" l="1"/>
  <c r="X39" i="4"/>
  <c r="AC39" i="4"/>
  <c r="W39" i="4"/>
  <c r="AA39" i="4"/>
  <c r="V39" i="4"/>
  <c r="U39" i="4"/>
  <c r="AD39" i="4"/>
  <c r="Z39" i="4"/>
  <c r="Y39" i="4"/>
  <c r="G14" i="12"/>
  <c r="L8" i="11"/>
  <c r="L13" i="11" s="1"/>
  <c r="L22" i="11" s="1"/>
  <c r="AD161" i="4"/>
  <c r="Z161" i="4"/>
  <c r="V161" i="4"/>
  <c r="X161" i="4"/>
  <c r="AA161" i="4"/>
  <c r="W161" i="4"/>
  <c r="AC161" i="4"/>
  <c r="Y161" i="4"/>
  <c r="U161" i="4"/>
  <c r="AB161" i="4"/>
  <c r="V166" i="7"/>
  <c r="V167" i="7" s="1"/>
  <c r="T166" i="7"/>
  <c r="T167" i="7" s="1"/>
  <c r="O61" i="8"/>
  <c r="J110" i="11"/>
  <c r="W166" i="7"/>
  <c r="W167" i="7" s="1"/>
  <c r="M106" i="11"/>
  <c r="L110" i="11"/>
  <c r="M66" i="11"/>
  <c r="L71" i="11"/>
  <c r="J61" i="11"/>
  <c r="F16" i="12"/>
  <c r="J16" i="12" s="1"/>
  <c r="M59" i="11"/>
  <c r="L61" i="11"/>
  <c r="J56" i="11"/>
  <c r="I61" i="8"/>
  <c r="H13" i="11"/>
  <c r="J155" i="11"/>
  <c r="F22" i="11"/>
  <c r="M53" i="11"/>
  <c r="L56" i="11"/>
  <c r="J13" i="11"/>
  <c r="J21" i="11"/>
  <c r="I166" i="7"/>
  <c r="I167" i="7" s="1"/>
  <c r="J41" i="11"/>
  <c r="AB166" i="7"/>
  <c r="AB167" i="7" s="1"/>
  <c r="L41" i="11"/>
  <c r="L164" i="11"/>
  <c r="M147" i="11"/>
  <c r="L155" i="11"/>
  <c r="P166" i="7"/>
  <c r="P167" i="7" s="1"/>
  <c r="L166" i="7"/>
  <c r="L167" i="7" s="1"/>
  <c r="O155" i="8"/>
  <c r="K156" i="8"/>
  <c r="O156" i="8" s="1"/>
  <c r="O144" i="8"/>
  <c r="O101" i="8"/>
  <c r="AA166" i="7"/>
  <c r="AA167" i="7" s="1"/>
  <c r="M137" i="11"/>
  <c r="L144" i="11"/>
  <c r="J144" i="11"/>
  <c r="F156" i="11"/>
  <c r="O132" i="8"/>
  <c r="AC166" i="7"/>
  <c r="AC167" i="7" s="1"/>
  <c r="J132" i="11"/>
  <c r="M122" i="11"/>
  <c r="O96" i="8"/>
  <c r="J119" i="11"/>
  <c r="K133" i="8"/>
  <c r="J101" i="11"/>
  <c r="F133" i="11"/>
  <c r="J96" i="11"/>
  <c r="O81" i="8"/>
  <c r="K22" i="8"/>
  <c r="M13" i="8"/>
  <c r="O21" i="8"/>
  <c r="J81" i="11"/>
  <c r="F82" i="11"/>
  <c r="J82" i="11" s="1"/>
  <c r="M74" i="11"/>
  <c r="L81" i="11"/>
  <c r="K82" i="8"/>
  <c r="O82" i="8" s="1"/>
  <c r="Z166" i="7"/>
  <c r="Z167" i="7" s="1"/>
  <c r="J50" i="11"/>
  <c r="M46" i="11"/>
  <c r="L50" i="11"/>
  <c r="AD166" i="7"/>
  <c r="AD167" i="7" s="1"/>
  <c r="I71" i="8"/>
  <c r="Y166" i="7"/>
  <c r="Y167" i="7" s="1"/>
  <c r="H22" i="8"/>
  <c r="I164" i="8"/>
  <c r="H166" i="7"/>
  <c r="H167" i="7" s="1"/>
  <c r="I167" i="11"/>
  <c r="H156" i="8"/>
  <c r="I41" i="8"/>
  <c r="I56" i="8"/>
  <c r="I50" i="8"/>
  <c r="I13" i="8"/>
  <c r="I155" i="8"/>
  <c r="R156" i="7"/>
  <c r="R82" i="7"/>
  <c r="I96" i="8"/>
  <c r="R22" i="7"/>
  <c r="I21" i="8"/>
  <c r="H82" i="8"/>
  <c r="E82" i="8"/>
  <c r="E22" i="8"/>
  <c r="N166" i="8"/>
  <c r="H133" i="8"/>
  <c r="I81" i="8"/>
  <c r="M166" i="7"/>
  <c r="M167" i="7" s="1"/>
  <c r="I110" i="8"/>
  <c r="E156" i="8"/>
  <c r="I144" i="8"/>
  <c r="G13" i="8"/>
  <c r="E119" i="8"/>
  <c r="E132" i="8"/>
  <c r="I101" i="8"/>
  <c r="R133" i="7"/>
  <c r="Q166" i="7"/>
  <c r="Q167" i="7" s="1"/>
  <c r="F166" i="7"/>
  <c r="O166" i="7"/>
  <c r="O167" i="7" s="1"/>
  <c r="N166" i="7"/>
  <c r="N167" i="7" s="1"/>
  <c r="K166" i="7"/>
  <c r="K167" i="7" s="1"/>
  <c r="J166" i="7"/>
  <c r="J167" i="7" s="1"/>
  <c r="G166" i="7"/>
  <c r="G167" i="7" s="1"/>
  <c r="O147" i="4"/>
  <c r="L147" i="4"/>
  <c r="I147" i="4"/>
  <c r="F147" i="4"/>
  <c r="O140" i="4"/>
  <c r="L140" i="4"/>
  <c r="I140" i="4"/>
  <c r="F140" i="4"/>
  <c r="L131" i="4"/>
  <c r="F129" i="4"/>
  <c r="I129" i="4"/>
  <c r="L129" i="4"/>
  <c r="O129" i="4"/>
  <c r="G100" i="4"/>
  <c r="H100" i="4"/>
  <c r="F100" i="4"/>
  <c r="G13" i="4"/>
  <c r="H13" i="4"/>
  <c r="I13" i="4"/>
  <c r="J13" i="4"/>
  <c r="K13" i="4"/>
  <c r="L13" i="4"/>
  <c r="M13" i="4"/>
  <c r="N13" i="4"/>
  <c r="O13" i="4"/>
  <c r="P13" i="4"/>
  <c r="Q13" i="4"/>
  <c r="G16" i="4"/>
  <c r="H16" i="4"/>
  <c r="I16" i="4"/>
  <c r="J16" i="4"/>
  <c r="K16" i="4"/>
  <c r="L16" i="4"/>
  <c r="M16" i="4"/>
  <c r="N16" i="4"/>
  <c r="O16" i="4"/>
  <c r="P16" i="4"/>
  <c r="Q16" i="4"/>
  <c r="G19" i="4"/>
  <c r="H19" i="4"/>
  <c r="O19" i="4"/>
  <c r="P19" i="4"/>
  <c r="M20" i="4"/>
  <c r="G38" i="4"/>
  <c r="N38" i="4"/>
  <c r="O38" i="4"/>
  <c r="H46" i="4"/>
  <c r="P46" i="4"/>
  <c r="J53" i="4"/>
  <c r="I55" i="4"/>
  <c r="Q55" i="4"/>
  <c r="G60" i="4"/>
  <c r="O60" i="4"/>
  <c r="G69" i="4"/>
  <c r="K69" i="4"/>
  <c r="O69" i="4"/>
  <c r="J74" i="4"/>
  <c r="H76" i="4"/>
  <c r="P76" i="4"/>
  <c r="O80" i="4"/>
  <c r="P89" i="4"/>
  <c r="H90" i="4"/>
  <c r="L90" i="4"/>
  <c r="M90" i="4"/>
  <c r="P90" i="4"/>
  <c r="G104" i="4"/>
  <c r="J104" i="4"/>
  <c r="K104" i="4"/>
  <c r="O104" i="4"/>
  <c r="M106" i="4"/>
  <c r="J107" i="4"/>
  <c r="M107" i="4"/>
  <c r="G108" i="4"/>
  <c r="J108" i="4"/>
  <c r="N108" i="4"/>
  <c r="O108" i="4"/>
  <c r="G114" i="4"/>
  <c r="L114" i="4"/>
  <c r="O114" i="4"/>
  <c r="Q118" i="4"/>
  <c r="M122" i="4"/>
  <c r="N122" i="4"/>
  <c r="P125" i="4"/>
  <c r="G137" i="4"/>
  <c r="L137" i="4"/>
  <c r="O137" i="4"/>
  <c r="G138" i="4"/>
  <c r="H138" i="4"/>
  <c r="I138" i="4"/>
  <c r="L138" i="4"/>
  <c r="M138" i="4"/>
  <c r="O138" i="4"/>
  <c r="Q138" i="4"/>
  <c r="K141" i="4"/>
  <c r="H142" i="4"/>
  <c r="K142" i="4"/>
  <c r="P142" i="4"/>
  <c r="G148" i="4"/>
  <c r="P148" i="4"/>
  <c r="Q148" i="4"/>
  <c r="G149" i="4"/>
  <c r="H149" i="4"/>
  <c r="O149" i="4"/>
  <c r="P149" i="4"/>
  <c r="H150" i="4"/>
  <c r="I150" i="4"/>
  <c r="K150" i="4"/>
  <c r="M150" i="4"/>
  <c r="O150" i="4"/>
  <c r="P150" i="4"/>
  <c r="O152" i="4"/>
  <c r="K153" i="4"/>
  <c r="L153" i="4"/>
  <c r="G154" i="4"/>
  <c r="H154" i="4"/>
  <c r="K154" i="4"/>
  <c r="L154" i="4"/>
  <c r="M154" i="4"/>
  <c r="P154" i="4"/>
  <c r="Q154" i="4"/>
  <c r="R164" i="5"/>
  <c r="Q164" i="5"/>
  <c r="O164" i="5"/>
  <c r="N164" i="5"/>
  <c r="L164" i="5"/>
  <c r="K164" i="5"/>
  <c r="G164" i="5"/>
  <c r="F164" i="5"/>
  <c r="E163" i="5"/>
  <c r="E164" i="5" s="1"/>
  <c r="D163" i="5"/>
  <c r="R155" i="5"/>
  <c r="Q155" i="5"/>
  <c r="O155" i="5"/>
  <c r="N155" i="5"/>
  <c r="L155" i="5"/>
  <c r="K155" i="5"/>
  <c r="G155" i="5"/>
  <c r="F155" i="5"/>
  <c r="E154" i="5"/>
  <c r="D154" i="5"/>
  <c r="D153" i="5"/>
  <c r="E153" i="5" s="1"/>
  <c r="E152" i="5"/>
  <c r="D152" i="5"/>
  <c r="D151" i="5"/>
  <c r="E151" i="5" s="1"/>
  <c r="E150" i="5"/>
  <c r="D150" i="5"/>
  <c r="D149" i="5"/>
  <c r="E149" i="5" s="1"/>
  <c r="E148" i="5"/>
  <c r="E155" i="5" s="1"/>
  <c r="E147" i="5"/>
  <c r="R144" i="5"/>
  <c r="R156" i="5" s="1"/>
  <c r="Q144" i="5"/>
  <c r="O144" i="5"/>
  <c r="O156" i="5" s="1"/>
  <c r="N144" i="5"/>
  <c r="N156" i="5" s="1"/>
  <c r="L144" i="5"/>
  <c r="L156" i="5" s="1"/>
  <c r="K144" i="5"/>
  <c r="G144" i="5"/>
  <c r="G156" i="5" s="1"/>
  <c r="F144" i="5"/>
  <c r="F156" i="5" s="1"/>
  <c r="E143" i="5"/>
  <c r="E142" i="5"/>
  <c r="D142" i="5"/>
  <c r="D141" i="5"/>
  <c r="E141" i="5" s="1"/>
  <c r="E140" i="5"/>
  <c r="E139" i="5"/>
  <c r="D139" i="5"/>
  <c r="D138" i="5"/>
  <c r="E138" i="5" s="1"/>
  <c r="E137" i="5"/>
  <c r="D137" i="5"/>
  <c r="Q133" i="5"/>
  <c r="C133" i="5"/>
  <c r="R132" i="5"/>
  <c r="Q132" i="5"/>
  <c r="O132" i="5"/>
  <c r="N132" i="5"/>
  <c r="L132" i="5"/>
  <c r="K132" i="5"/>
  <c r="F132" i="5"/>
  <c r="E131" i="5"/>
  <c r="D130" i="5"/>
  <c r="E130" i="5" s="1"/>
  <c r="E129" i="5"/>
  <c r="D128" i="5"/>
  <c r="E128" i="5" s="1"/>
  <c r="G127" i="5"/>
  <c r="E127" i="5" s="1"/>
  <c r="D127" i="5"/>
  <c r="G126" i="5"/>
  <c r="E126" i="5"/>
  <c r="D126" i="5"/>
  <c r="D125" i="5"/>
  <c r="E125" i="5" s="1"/>
  <c r="E124" i="5"/>
  <c r="D124" i="5"/>
  <c r="D123" i="5"/>
  <c r="E122" i="5"/>
  <c r="D122" i="5"/>
  <c r="R119" i="5"/>
  <c r="Q119" i="5"/>
  <c r="O119" i="5"/>
  <c r="N119" i="5"/>
  <c r="L119" i="5"/>
  <c r="K119" i="5"/>
  <c r="F119" i="5"/>
  <c r="E118" i="5"/>
  <c r="D118" i="5"/>
  <c r="D117" i="5"/>
  <c r="D115" i="5"/>
  <c r="E114" i="5"/>
  <c r="D114" i="5"/>
  <c r="D113" i="5"/>
  <c r="R110" i="5"/>
  <c r="Q110" i="5"/>
  <c r="O110" i="5"/>
  <c r="N110" i="5"/>
  <c r="L110" i="5"/>
  <c r="K110" i="5"/>
  <c r="G110" i="5"/>
  <c r="F110" i="5"/>
  <c r="D109" i="5"/>
  <c r="E109" i="5" s="1"/>
  <c r="E108" i="5"/>
  <c r="D108" i="5"/>
  <c r="D107" i="5"/>
  <c r="E107" i="5" s="1"/>
  <c r="E106" i="5"/>
  <c r="D106" i="5"/>
  <c r="D105" i="5"/>
  <c r="E105" i="5" s="1"/>
  <c r="E104" i="5"/>
  <c r="D104" i="5"/>
  <c r="R101" i="5"/>
  <c r="Q101" i="5"/>
  <c r="O101" i="5"/>
  <c r="N101" i="5"/>
  <c r="L101" i="5"/>
  <c r="K101" i="5"/>
  <c r="F101" i="5"/>
  <c r="G99" i="5"/>
  <c r="D99" i="5"/>
  <c r="R96" i="5"/>
  <c r="Q96" i="5"/>
  <c r="O96" i="5"/>
  <c r="N96" i="5"/>
  <c r="L96" i="5"/>
  <c r="K96" i="5"/>
  <c r="K133" i="5" s="1"/>
  <c r="F96" i="5"/>
  <c r="E95" i="5"/>
  <c r="D95" i="5"/>
  <c r="D94" i="5"/>
  <c r="R91" i="5"/>
  <c r="R133" i="5" s="1"/>
  <c r="Q91" i="5"/>
  <c r="O91" i="5"/>
  <c r="O133" i="5" s="1"/>
  <c r="N91" i="5"/>
  <c r="N133" i="5" s="1"/>
  <c r="L91" i="5"/>
  <c r="L133" i="5" s="1"/>
  <c r="K91" i="5"/>
  <c r="F91" i="5"/>
  <c r="D90" i="5"/>
  <c r="E90" i="5" s="1"/>
  <c r="E89" i="5"/>
  <c r="D89" i="5"/>
  <c r="D88" i="5"/>
  <c r="E88" i="5" s="1"/>
  <c r="E87" i="5"/>
  <c r="D87" i="5"/>
  <c r="D86" i="5"/>
  <c r="N82" i="5"/>
  <c r="F82" i="5"/>
  <c r="R81" i="5"/>
  <c r="Q81" i="5"/>
  <c r="O81" i="5"/>
  <c r="N81" i="5"/>
  <c r="L81" i="5"/>
  <c r="K81" i="5"/>
  <c r="G81" i="5"/>
  <c r="F81" i="5"/>
  <c r="D80" i="5"/>
  <c r="E80" i="5" s="1"/>
  <c r="E79" i="5"/>
  <c r="D79" i="5"/>
  <c r="D78" i="5"/>
  <c r="E78" i="5" s="1"/>
  <c r="E76" i="5"/>
  <c r="D76" i="5"/>
  <c r="D75" i="5"/>
  <c r="E75" i="5" s="1"/>
  <c r="E74" i="5"/>
  <c r="D74" i="5"/>
  <c r="R71" i="5"/>
  <c r="Q71" i="5"/>
  <c r="O71" i="5"/>
  <c r="N71" i="5"/>
  <c r="L71" i="5"/>
  <c r="K71" i="5"/>
  <c r="G71" i="5"/>
  <c r="F71" i="5"/>
  <c r="E70" i="5"/>
  <c r="D70" i="5"/>
  <c r="D69" i="5"/>
  <c r="E69" i="5" s="1"/>
  <c r="E71" i="5" s="1"/>
  <c r="E63" i="5"/>
  <c r="D63" i="5"/>
  <c r="R61" i="5"/>
  <c r="Q61" i="5"/>
  <c r="O61" i="5"/>
  <c r="N61" i="5"/>
  <c r="L61" i="5"/>
  <c r="K61" i="5"/>
  <c r="G61" i="5"/>
  <c r="F61" i="5"/>
  <c r="D60" i="5"/>
  <c r="E60" i="5" s="1"/>
  <c r="E59" i="5"/>
  <c r="E61" i="5" s="1"/>
  <c r="D59" i="5"/>
  <c r="R56" i="5"/>
  <c r="R82" i="5" s="1"/>
  <c r="Q56" i="5"/>
  <c r="O56" i="5"/>
  <c r="N56" i="5"/>
  <c r="L56" i="5"/>
  <c r="L82" i="5" s="1"/>
  <c r="K56" i="5"/>
  <c r="G56" i="5"/>
  <c r="F56" i="5"/>
  <c r="E55" i="5"/>
  <c r="D55" i="5"/>
  <c r="D54" i="5"/>
  <c r="E54" i="5" s="1"/>
  <c r="E53" i="5"/>
  <c r="E56" i="5" s="1"/>
  <c r="D53" i="5"/>
  <c r="R50" i="5"/>
  <c r="Q50" i="5"/>
  <c r="O50" i="5"/>
  <c r="N50" i="5"/>
  <c r="L50" i="5"/>
  <c r="K50" i="5"/>
  <c r="G50" i="5"/>
  <c r="F50" i="5"/>
  <c r="D49" i="5"/>
  <c r="E49" i="5" s="1"/>
  <c r="E48" i="5"/>
  <c r="D48" i="5"/>
  <c r="G47" i="5"/>
  <c r="E47" i="5"/>
  <c r="D47" i="5"/>
  <c r="D46" i="5"/>
  <c r="E46" i="5" s="1"/>
  <c r="E50" i="5" s="1"/>
  <c r="E43" i="5"/>
  <c r="D43" i="5"/>
  <c r="R41" i="5"/>
  <c r="Q41" i="5"/>
  <c r="Q82" i="5" s="1"/>
  <c r="O41" i="5"/>
  <c r="N41" i="5"/>
  <c r="L41" i="5"/>
  <c r="K41" i="5"/>
  <c r="K82" i="5" s="1"/>
  <c r="G41" i="5"/>
  <c r="F41" i="5"/>
  <c r="D40" i="5"/>
  <c r="E40" i="5" s="1"/>
  <c r="E38" i="5"/>
  <c r="D38" i="5"/>
  <c r="D36" i="5"/>
  <c r="E36" i="5" s="1"/>
  <c r="E35" i="5"/>
  <c r="E41" i="5" s="1"/>
  <c r="D35" i="5"/>
  <c r="N22" i="5"/>
  <c r="F22" i="5"/>
  <c r="F26" i="5" s="1"/>
  <c r="F30" i="5" s="1"/>
  <c r="F31" i="5" s="1"/>
  <c r="R21" i="5"/>
  <c r="Q21" i="5"/>
  <c r="O21" i="5"/>
  <c r="O22" i="5" s="1"/>
  <c r="N21" i="5"/>
  <c r="L21" i="5"/>
  <c r="K21" i="5"/>
  <c r="G21" i="5"/>
  <c r="F21" i="5"/>
  <c r="D20" i="5"/>
  <c r="E20" i="5" s="1"/>
  <c r="E19" i="5"/>
  <c r="D19" i="5"/>
  <c r="D18" i="5"/>
  <c r="E18" i="5" s="1"/>
  <c r="E17" i="5"/>
  <c r="D17" i="5"/>
  <c r="E16" i="5"/>
  <c r="R13" i="5"/>
  <c r="R22" i="5" s="1"/>
  <c r="Q13" i="5"/>
  <c r="Q22" i="5" s="1"/>
  <c r="O13" i="5"/>
  <c r="N13" i="5"/>
  <c r="L13" i="5"/>
  <c r="L22" i="5" s="1"/>
  <c r="K13" i="5"/>
  <c r="K22" i="5" s="1"/>
  <c r="F13" i="5"/>
  <c r="E13" i="5"/>
  <c r="G7" i="5"/>
  <c r="G13" i="5" s="1"/>
  <c r="G22" i="5" s="1"/>
  <c r="E163" i="4"/>
  <c r="I163" i="4" s="1"/>
  <c r="I164" i="4" s="1"/>
  <c r="E154" i="4"/>
  <c r="I154" i="4" s="1"/>
  <c r="E153" i="4"/>
  <c r="I153" i="4" s="1"/>
  <c r="E152" i="4"/>
  <c r="H152" i="4" s="1"/>
  <c r="E151" i="4"/>
  <c r="E150" i="4"/>
  <c r="G150" i="4" s="1"/>
  <c r="E149" i="4"/>
  <c r="K149" i="4" s="1"/>
  <c r="F148" i="4"/>
  <c r="F131" i="4"/>
  <c r="F143" i="4"/>
  <c r="E142" i="4"/>
  <c r="L142" i="4" s="1"/>
  <c r="E141" i="4"/>
  <c r="H141" i="4" s="1"/>
  <c r="E139" i="4"/>
  <c r="G139" i="4" s="1"/>
  <c r="E138" i="4"/>
  <c r="K138" i="4" s="1"/>
  <c r="E137" i="4"/>
  <c r="H137" i="4" s="1"/>
  <c r="E130" i="4"/>
  <c r="H130" i="4" s="1"/>
  <c r="E128" i="4"/>
  <c r="G128" i="4" s="1"/>
  <c r="E127" i="4"/>
  <c r="E126" i="4"/>
  <c r="E125" i="4"/>
  <c r="I125" i="4" s="1"/>
  <c r="E124" i="4"/>
  <c r="H124" i="4" s="1"/>
  <c r="E123" i="4"/>
  <c r="E122" i="4"/>
  <c r="I122" i="4" s="1"/>
  <c r="E118" i="4"/>
  <c r="J118" i="4" s="1"/>
  <c r="E117" i="4"/>
  <c r="E115" i="4"/>
  <c r="E114" i="4"/>
  <c r="H114" i="4" s="1"/>
  <c r="E113" i="4"/>
  <c r="E109" i="4"/>
  <c r="I109" i="4" s="1"/>
  <c r="E108" i="4"/>
  <c r="K108" i="4" s="1"/>
  <c r="E107" i="4"/>
  <c r="G107" i="4" s="1"/>
  <c r="E106" i="4"/>
  <c r="J106" i="4" s="1"/>
  <c r="E105" i="4"/>
  <c r="I105" i="4" s="1"/>
  <c r="E104" i="4"/>
  <c r="N104" i="4" s="1"/>
  <c r="E99" i="4"/>
  <c r="E95" i="4"/>
  <c r="G95" i="4" s="1"/>
  <c r="E94" i="4"/>
  <c r="E90" i="4"/>
  <c r="I90" i="4" s="1"/>
  <c r="E89" i="4"/>
  <c r="I89" i="4" s="1"/>
  <c r="E88" i="4"/>
  <c r="H88" i="4" s="1"/>
  <c r="E87" i="4"/>
  <c r="J87" i="4" s="1"/>
  <c r="E86" i="4"/>
  <c r="E80" i="4"/>
  <c r="H80" i="4" s="1"/>
  <c r="E79" i="4"/>
  <c r="G79" i="4" s="1"/>
  <c r="E78" i="4"/>
  <c r="L78" i="4" s="1"/>
  <c r="E76" i="4"/>
  <c r="I76" i="4" s="1"/>
  <c r="E75" i="4"/>
  <c r="H75" i="4" s="1"/>
  <c r="E74" i="4"/>
  <c r="M74" i="4" s="1"/>
  <c r="E70" i="4"/>
  <c r="G70" i="4" s="1"/>
  <c r="E69" i="4"/>
  <c r="H69" i="4" s="1"/>
  <c r="E63" i="4"/>
  <c r="E60" i="4"/>
  <c r="H60" i="4" s="1"/>
  <c r="E59" i="4"/>
  <c r="K59" i="4" s="1"/>
  <c r="E55" i="4"/>
  <c r="J55" i="4" s="1"/>
  <c r="E54" i="4"/>
  <c r="I54" i="4" s="1"/>
  <c r="E53" i="4"/>
  <c r="K53" i="4" s="1"/>
  <c r="E48" i="4"/>
  <c r="H48" i="4" s="1"/>
  <c r="E49" i="4"/>
  <c r="I49" i="4" s="1"/>
  <c r="E47" i="4"/>
  <c r="E46" i="4"/>
  <c r="I46" i="4" s="1"/>
  <c r="E43" i="4"/>
  <c r="I43" i="4" s="1"/>
  <c r="E40" i="4"/>
  <c r="I40" i="4" s="1"/>
  <c r="E38" i="4"/>
  <c r="J38" i="4" s="1"/>
  <c r="E36" i="4"/>
  <c r="E35" i="4"/>
  <c r="E18" i="4"/>
  <c r="H18" i="4" s="1"/>
  <c r="E19" i="4"/>
  <c r="K19" i="4" s="1"/>
  <c r="E20" i="4"/>
  <c r="H20" i="4" s="1"/>
  <c r="E17" i="4"/>
  <c r="G17" i="4" s="1"/>
  <c r="F40" i="4"/>
  <c r="F19" i="4"/>
  <c r="F16" i="4"/>
  <c r="F13" i="4"/>
  <c r="J35" i="4" l="1"/>
  <c r="Q87" i="4"/>
  <c r="I87" i="4"/>
  <c r="Q78" i="4"/>
  <c r="I78" i="4"/>
  <c r="L70" i="4"/>
  <c r="O61" i="4"/>
  <c r="J59" i="4"/>
  <c r="K48" i="4"/>
  <c r="M35" i="4"/>
  <c r="F16" i="8"/>
  <c r="G16" i="8" s="1"/>
  <c r="AB16" i="4"/>
  <c r="X16" i="4"/>
  <c r="T16" i="4"/>
  <c r="AA16" i="4"/>
  <c r="W16" i="4"/>
  <c r="S16" i="4"/>
  <c r="Z16" i="4"/>
  <c r="Y16" i="4"/>
  <c r="AD16" i="4"/>
  <c r="V16" i="4"/>
  <c r="AC16" i="4"/>
  <c r="U16" i="4"/>
  <c r="N36" i="4"/>
  <c r="F148" i="8"/>
  <c r="G148" i="8" s="1"/>
  <c r="AB148" i="4"/>
  <c r="X148" i="4"/>
  <c r="T148" i="4"/>
  <c r="AA148" i="4"/>
  <c r="V148" i="4"/>
  <c r="Z148" i="4"/>
  <c r="U148" i="4"/>
  <c r="Y148" i="4"/>
  <c r="W148" i="4"/>
  <c r="AD148" i="4"/>
  <c r="S148" i="4"/>
  <c r="AC148" i="4"/>
  <c r="K152" i="4"/>
  <c r="G141" i="4"/>
  <c r="O130" i="4"/>
  <c r="L125" i="4"/>
  <c r="M118" i="4"/>
  <c r="I106" i="4"/>
  <c r="N87" i="4"/>
  <c r="P78" i="4"/>
  <c r="H78" i="4"/>
  <c r="Q74" i="4"/>
  <c r="I74" i="4"/>
  <c r="K70" i="4"/>
  <c r="K71" i="4"/>
  <c r="L60" i="4"/>
  <c r="O59" i="4"/>
  <c r="G59" i="4"/>
  <c r="O53" i="4"/>
  <c r="G53" i="4"/>
  <c r="J48" i="4"/>
  <c r="M46" i="4"/>
  <c r="P43" i="4"/>
  <c r="M36" i="4"/>
  <c r="I35" i="4"/>
  <c r="L20" i="4"/>
  <c r="F19" i="8"/>
  <c r="G19" i="8" s="1"/>
  <c r="T19" i="4"/>
  <c r="S19" i="4"/>
  <c r="U19" i="4"/>
  <c r="P153" i="4"/>
  <c r="H153" i="4"/>
  <c r="G152" i="4"/>
  <c r="L149" i="4"/>
  <c r="O142" i="4"/>
  <c r="G142" i="4"/>
  <c r="G144" i="4" s="1"/>
  <c r="K137" i="4"/>
  <c r="K130" i="4"/>
  <c r="H125" i="4"/>
  <c r="J122" i="4"/>
  <c r="I118" i="4"/>
  <c r="K114" i="4"/>
  <c r="Q107" i="4"/>
  <c r="I107" i="4"/>
  <c r="L89" i="4"/>
  <c r="M87" i="4"/>
  <c r="K80" i="4"/>
  <c r="M78" i="4"/>
  <c r="N74" i="4"/>
  <c r="P70" i="4"/>
  <c r="H70" i="4"/>
  <c r="G71" i="4"/>
  <c r="K60" i="4"/>
  <c r="N59" i="4"/>
  <c r="N53" i="4"/>
  <c r="O48" i="4"/>
  <c r="G48" i="4"/>
  <c r="L46" i="4"/>
  <c r="L43" i="4"/>
  <c r="K38" i="4"/>
  <c r="J36" i="4"/>
  <c r="Q20" i="4"/>
  <c r="I20" i="4"/>
  <c r="L19" i="4"/>
  <c r="N17" i="4"/>
  <c r="F100" i="8"/>
  <c r="G100" i="8" s="1"/>
  <c r="AB100" i="4"/>
  <c r="X100" i="4"/>
  <c r="T100" i="4"/>
  <c r="Z100" i="4"/>
  <c r="U100" i="4"/>
  <c r="AD100" i="4"/>
  <c r="Y100" i="4"/>
  <c r="S100" i="4"/>
  <c r="AC100" i="4"/>
  <c r="AA100" i="4"/>
  <c r="W100" i="4"/>
  <c r="V100" i="4"/>
  <c r="H71" i="4"/>
  <c r="O154" i="4"/>
  <c r="O153" i="4"/>
  <c r="G153" i="4"/>
  <c r="Q150" i="4"/>
  <c r="L150" i="4"/>
  <c r="O141" i="4"/>
  <c r="P138" i="4"/>
  <c r="P137" i="4"/>
  <c r="P144" i="4" s="1"/>
  <c r="G130" i="4"/>
  <c r="Q122" i="4"/>
  <c r="P114" i="4"/>
  <c r="N107" i="4"/>
  <c r="Q106" i="4"/>
  <c r="Q90" i="4"/>
  <c r="H89" i="4"/>
  <c r="G80" i="4"/>
  <c r="L76" i="4"/>
  <c r="O70" i="4"/>
  <c r="O71" i="4" s="1"/>
  <c r="P60" i="4"/>
  <c r="M55" i="4"/>
  <c r="N48" i="4"/>
  <c r="Q46" i="4"/>
  <c r="H43" i="4"/>
  <c r="I36" i="4"/>
  <c r="P20" i="4"/>
  <c r="J17" i="4"/>
  <c r="J21" i="4" s="1"/>
  <c r="J22" i="4" s="1"/>
  <c r="P161" i="1"/>
  <c r="G161" i="11"/>
  <c r="H161" i="11" s="1"/>
  <c r="L161" i="8"/>
  <c r="M161" i="8" s="1"/>
  <c r="P39" i="1"/>
  <c r="G39" i="11"/>
  <c r="H39" i="11" s="1"/>
  <c r="L39" i="8"/>
  <c r="M39" i="8" s="1"/>
  <c r="H14" i="12"/>
  <c r="F147" i="8"/>
  <c r="G147" i="8" s="1"/>
  <c r="AD147" i="4"/>
  <c r="Z147" i="4"/>
  <c r="V147" i="4"/>
  <c r="AB147" i="4"/>
  <c r="X147" i="4"/>
  <c r="T147" i="4"/>
  <c r="AA147" i="4"/>
  <c r="W147" i="4"/>
  <c r="S147" i="4"/>
  <c r="AC147" i="4"/>
  <c r="Y147" i="4"/>
  <c r="U147" i="4"/>
  <c r="F143" i="8"/>
  <c r="G143" i="8" s="1"/>
  <c r="AA143" i="4"/>
  <c r="W143" i="4"/>
  <c r="S143" i="4"/>
  <c r="Y143" i="4"/>
  <c r="X143" i="4"/>
  <c r="T143" i="4"/>
  <c r="AD143" i="4"/>
  <c r="Z143" i="4"/>
  <c r="V143" i="4"/>
  <c r="AC143" i="4"/>
  <c r="U143" i="4"/>
  <c r="AB143" i="4"/>
  <c r="F140" i="8"/>
  <c r="G140" i="8" s="1"/>
  <c r="AC140" i="4"/>
  <c r="Y140" i="4"/>
  <c r="U140" i="4"/>
  <c r="W140" i="4"/>
  <c r="S140" i="4"/>
  <c r="V140" i="4"/>
  <c r="AB140" i="4"/>
  <c r="X140" i="4"/>
  <c r="T140" i="4"/>
  <c r="AA140" i="4"/>
  <c r="AD140" i="4"/>
  <c r="Z140" i="4"/>
  <c r="F131" i="8"/>
  <c r="G131" i="8" s="1"/>
  <c r="AD131" i="4"/>
  <c r="Z131" i="4"/>
  <c r="V131" i="4"/>
  <c r="AB131" i="4"/>
  <c r="T131" i="4"/>
  <c r="W131" i="4"/>
  <c r="AC131" i="4"/>
  <c r="Y131" i="4"/>
  <c r="U131" i="4"/>
  <c r="X131" i="4"/>
  <c r="AA131" i="4"/>
  <c r="S131" i="4"/>
  <c r="F129" i="8"/>
  <c r="G129" i="8" s="1"/>
  <c r="AA129" i="4"/>
  <c r="W129" i="4"/>
  <c r="S129" i="4"/>
  <c r="Y129" i="4"/>
  <c r="AB129" i="4"/>
  <c r="T129" i="4"/>
  <c r="AD129" i="4"/>
  <c r="Z129" i="4"/>
  <c r="V129" i="4"/>
  <c r="AC129" i="4"/>
  <c r="U129" i="4"/>
  <c r="X129" i="4"/>
  <c r="S40" i="4"/>
  <c r="G61" i="4"/>
  <c r="K61" i="4"/>
  <c r="F167" i="7"/>
  <c r="J22" i="11"/>
  <c r="L14" i="12"/>
  <c r="L16" i="12" s="1"/>
  <c r="L156" i="11"/>
  <c r="J156" i="11"/>
  <c r="O133" i="8"/>
  <c r="J133" i="11"/>
  <c r="O22" i="8"/>
  <c r="K166" i="8"/>
  <c r="K167" i="8" s="1"/>
  <c r="F166" i="11"/>
  <c r="F167" i="11" s="1"/>
  <c r="L82" i="11"/>
  <c r="I156" i="8"/>
  <c r="I22" i="8"/>
  <c r="H166" i="8"/>
  <c r="H167" i="8" s="1"/>
  <c r="R166" i="7"/>
  <c r="R167" i="7" s="1"/>
  <c r="AD169" i="7" s="1"/>
  <c r="I82" i="8"/>
  <c r="N167" i="8"/>
  <c r="I41" i="4"/>
  <c r="F63" i="4"/>
  <c r="F151" i="4"/>
  <c r="P163" i="4"/>
  <c r="P164" i="4" s="1"/>
  <c r="L163" i="4"/>
  <c r="L164" i="4" s="1"/>
  <c r="H163" i="4"/>
  <c r="H164" i="4" s="1"/>
  <c r="N151" i="4"/>
  <c r="J151" i="4"/>
  <c r="J139" i="4"/>
  <c r="K124" i="4"/>
  <c r="L109" i="4"/>
  <c r="P105" i="4"/>
  <c r="L105" i="4"/>
  <c r="H105" i="4"/>
  <c r="J95" i="4"/>
  <c r="K88" i="4"/>
  <c r="G88" i="4"/>
  <c r="J79" i="4"/>
  <c r="O75" i="4"/>
  <c r="J63" i="4"/>
  <c r="L40" i="4"/>
  <c r="O18" i="4"/>
  <c r="G18" i="4"/>
  <c r="N128" i="4"/>
  <c r="F49" i="4"/>
  <c r="K163" i="4"/>
  <c r="K164" i="4" s="1"/>
  <c r="G163" i="4"/>
  <c r="G164" i="4" s="1"/>
  <c r="J152" i="4"/>
  <c r="M151" i="4"/>
  <c r="I151" i="4"/>
  <c r="N141" i="4"/>
  <c r="Q139" i="4"/>
  <c r="I139" i="4"/>
  <c r="N130" i="4"/>
  <c r="O125" i="4"/>
  <c r="G125" i="4"/>
  <c r="N124" i="4"/>
  <c r="J124" i="4"/>
  <c r="P118" i="4"/>
  <c r="K109" i="4"/>
  <c r="G109" i="4"/>
  <c r="G110" i="4" s="1"/>
  <c r="L106" i="4"/>
  <c r="O105" i="4"/>
  <c r="G105" i="4"/>
  <c r="K89" i="4"/>
  <c r="N88" i="4"/>
  <c r="J88" i="4"/>
  <c r="J80" i="4"/>
  <c r="K76" i="4"/>
  <c r="N75" i="4"/>
  <c r="J75" i="4"/>
  <c r="J69" i="4"/>
  <c r="M63" i="4"/>
  <c r="L55" i="4"/>
  <c r="O54" i="4"/>
  <c r="G54" i="4"/>
  <c r="O49" i="4"/>
  <c r="G49" i="4"/>
  <c r="K43" i="4"/>
  <c r="O40" i="4"/>
  <c r="K40" i="4"/>
  <c r="G40" i="4"/>
  <c r="P35" i="4"/>
  <c r="H35" i="4"/>
  <c r="N18" i="4"/>
  <c r="Q17" i="4"/>
  <c r="M17" i="4"/>
  <c r="I17" i="4"/>
  <c r="Q128" i="4"/>
  <c r="M128" i="4"/>
  <c r="F20" i="4"/>
  <c r="F36" i="4"/>
  <c r="F46" i="4"/>
  <c r="F59" i="4"/>
  <c r="F70" i="4"/>
  <c r="F90" i="4"/>
  <c r="F114" i="4"/>
  <c r="F122" i="4"/>
  <c r="F137" i="4"/>
  <c r="F142" i="4"/>
  <c r="F149" i="4"/>
  <c r="F38" i="4"/>
  <c r="F53" i="4"/>
  <c r="F60" i="4"/>
  <c r="F74" i="4"/>
  <c r="F78" i="4"/>
  <c r="F87" i="4"/>
  <c r="F104" i="4"/>
  <c r="F108" i="4"/>
  <c r="F138" i="4"/>
  <c r="F150" i="4"/>
  <c r="F154" i="4"/>
  <c r="Q164" i="4"/>
  <c r="M163" i="4"/>
  <c r="M164" i="4" s="1"/>
  <c r="N154" i="4"/>
  <c r="J154" i="4"/>
  <c r="Q153" i="4"/>
  <c r="M153" i="4"/>
  <c r="P152" i="4"/>
  <c r="L152" i="4"/>
  <c r="O151" i="4"/>
  <c r="O155" i="4" s="1"/>
  <c r="K151" i="4"/>
  <c r="G151" i="4"/>
  <c r="G155" i="4" s="1"/>
  <c r="N150" i="4"/>
  <c r="J150" i="4"/>
  <c r="Q149" i="4"/>
  <c r="M149" i="4"/>
  <c r="I149" i="4"/>
  <c r="Q142" i="4"/>
  <c r="M142" i="4"/>
  <c r="I142" i="4"/>
  <c r="P141" i="4"/>
  <c r="L141" i="4"/>
  <c r="O139" i="4"/>
  <c r="K139" i="4"/>
  <c r="K144" i="4" s="1"/>
  <c r="N138" i="4"/>
  <c r="J138" i="4"/>
  <c r="Q137" i="4"/>
  <c r="M137" i="4"/>
  <c r="I137" i="4"/>
  <c r="P130" i="4"/>
  <c r="L130" i="4"/>
  <c r="Q125" i="4"/>
  <c r="M125" i="4"/>
  <c r="P124" i="4"/>
  <c r="L124" i="4"/>
  <c r="O122" i="4"/>
  <c r="K122" i="4"/>
  <c r="G122" i="4"/>
  <c r="N118" i="4"/>
  <c r="Q114" i="4"/>
  <c r="M114" i="4"/>
  <c r="I114" i="4"/>
  <c r="Q109" i="4"/>
  <c r="M109" i="4"/>
  <c r="P108" i="4"/>
  <c r="L108" i="4"/>
  <c r="H108" i="4"/>
  <c r="O107" i="4"/>
  <c r="K107" i="4"/>
  <c r="N106" i="4"/>
  <c r="Q105" i="4"/>
  <c r="M105" i="4"/>
  <c r="P104" i="4"/>
  <c r="L104" i="4"/>
  <c r="H104" i="4"/>
  <c r="O95" i="4"/>
  <c r="K95" i="4"/>
  <c r="N90" i="4"/>
  <c r="J90" i="4"/>
  <c r="Q89" i="4"/>
  <c r="M89" i="4"/>
  <c r="P88" i="4"/>
  <c r="L88" i="4"/>
  <c r="O87" i="4"/>
  <c r="K87" i="4"/>
  <c r="G87" i="4"/>
  <c r="P80" i="4"/>
  <c r="L80" i="4"/>
  <c r="O79" i="4"/>
  <c r="K79" i="4"/>
  <c r="N78" i="4"/>
  <c r="J78" i="4"/>
  <c r="Q76" i="4"/>
  <c r="M76" i="4"/>
  <c r="P75" i="4"/>
  <c r="L75" i="4"/>
  <c r="O74" i="4"/>
  <c r="K74" i="4"/>
  <c r="G74" i="4"/>
  <c r="Q70" i="4"/>
  <c r="M70" i="4"/>
  <c r="I70" i="4"/>
  <c r="P69" i="4"/>
  <c r="L69" i="4"/>
  <c r="L71" i="4" s="1"/>
  <c r="O63" i="4"/>
  <c r="K63" i="4"/>
  <c r="G63" i="4"/>
  <c r="Q60" i="4"/>
  <c r="M60" i="4"/>
  <c r="I60" i="4"/>
  <c r="P59" i="4"/>
  <c r="P61" i="4" s="1"/>
  <c r="L59" i="4"/>
  <c r="L61" i="4" s="1"/>
  <c r="H59" i="4"/>
  <c r="H61" i="4" s="1"/>
  <c r="N55" i="4"/>
  <c r="Q54" i="4"/>
  <c r="M54" i="4"/>
  <c r="P53" i="4"/>
  <c r="L53" i="4"/>
  <c r="H53" i="4"/>
  <c r="Q49" i="4"/>
  <c r="M49" i="4"/>
  <c r="P48" i="4"/>
  <c r="L48" i="4"/>
  <c r="N46" i="4"/>
  <c r="J46" i="4"/>
  <c r="Q43" i="4"/>
  <c r="M43" i="4"/>
  <c r="Q40" i="4"/>
  <c r="Q41" i="4" s="1"/>
  <c r="M40" i="4"/>
  <c r="P38" i="4"/>
  <c r="L38" i="4"/>
  <c r="H38" i="4"/>
  <c r="K36" i="4"/>
  <c r="G36" i="4"/>
  <c r="N20" i="4"/>
  <c r="J20" i="4"/>
  <c r="Q19" i="4"/>
  <c r="M19" i="4"/>
  <c r="I19" i="4"/>
  <c r="AD19" i="4" s="1"/>
  <c r="P18" i="4"/>
  <c r="L18" i="4"/>
  <c r="L21" i="4" s="1"/>
  <c r="L22" i="4" s="1"/>
  <c r="O17" i="4"/>
  <c r="K17" i="4"/>
  <c r="O128" i="4"/>
  <c r="K128" i="4"/>
  <c r="F18" i="4"/>
  <c r="F54" i="4"/>
  <c r="F75" i="4"/>
  <c r="F79" i="4"/>
  <c r="F88" i="4"/>
  <c r="F105" i="4"/>
  <c r="F109" i="4"/>
  <c r="F124" i="4"/>
  <c r="F139" i="4"/>
  <c r="F163" i="4"/>
  <c r="N139" i="4"/>
  <c r="O124" i="4"/>
  <c r="G124" i="4"/>
  <c r="P109" i="4"/>
  <c r="H109" i="4"/>
  <c r="N95" i="4"/>
  <c r="O88" i="4"/>
  <c r="N79" i="4"/>
  <c r="K75" i="4"/>
  <c r="G75" i="4"/>
  <c r="N63" i="4"/>
  <c r="P54" i="4"/>
  <c r="L54" i="4"/>
  <c r="H54" i="4"/>
  <c r="P49" i="4"/>
  <c r="L49" i="4"/>
  <c r="H49" i="4"/>
  <c r="P40" i="4"/>
  <c r="H40" i="4"/>
  <c r="K18" i="4"/>
  <c r="K21" i="4" s="1"/>
  <c r="K22" i="4" s="1"/>
  <c r="J128" i="4"/>
  <c r="F128" i="4"/>
  <c r="F17" i="4"/>
  <c r="F35" i="4"/>
  <c r="F43" i="4"/>
  <c r="F55" i="4"/>
  <c r="F69" i="4"/>
  <c r="F80" i="4"/>
  <c r="F89" i="4"/>
  <c r="F95" i="4"/>
  <c r="F106" i="4"/>
  <c r="F118" i="4"/>
  <c r="F125" i="4"/>
  <c r="F130" i="4"/>
  <c r="F141" i="4"/>
  <c r="F152" i="4"/>
  <c r="O164" i="4"/>
  <c r="N152" i="4"/>
  <c r="Q151" i="4"/>
  <c r="J141" i="4"/>
  <c r="M139" i="4"/>
  <c r="J130" i="4"/>
  <c r="K125" i="4"/>
  <c r="L118" i="4"/>
  <c r="H118" i="4"/>
  <c r="O109" i="4"/>
  <c r="P106" i="4"/>
  <c r="H106" i="4"/>
  <c r="K105" i="4"/>
  <c r="Q95" i="4"/>
  <c r="M95" i="4"/>
  <c r="I95" i="4"/>
  <c r="O89" i="4"/>
  <c r="G89" i="4"/>
  <c r="N80" i="4"/>
  <c r="Q79" i="4"/>
  <c r="M79" i="4"/>
  <c r="I79" i="4"/>
  <c r="O76" i="4"/>
  <c r="G76" i="4"/>
  <c r="N69" i="4"/>
  <c r="Q63" i="4"/>
  <c r="I63" i="4"/>
  <c r="P55" i="4"/>
  <c r="H55" i="4"/>
  <c r="K54" i="4"/>
  <c r="K49" i="4"/>
  <c r="O43" i="4"/>
  <c r="G43" i="4"/>
  <c r="L35" i="4"/>
  <c r="J18" i="4"/>
  <c r="I128" i="4"/>
  <c r="F48" i="4"/>
  <c r="F76" i="4"/>
  <c r="F107" i="4"/>
  <c r="F153" i="4"/>
  <c r="N164" i="4"/>
  <c r="J163" i="4"/>
  <c r="J164" i="4" s="1"/>
  <c r="N153" i="4"/>
  <c r="J153" i="4"/>
  <c r="Q152" i="4"/>
  <c r="M152" i="4"/>
  <c r="I152" i="4"/>
  <c r="P151" i="4"/>
  <c r="P155" i="4" s="1"/>
  <c r="L151" i="4"/>
  <c r="H151" i="4"/>
  <c r="H155" i="4" s="1"/>
  <c r="N149" i="4"/>
  <c r="J149" i="4"/>
  <c r="N142" i="4"/>
  <c r="J142" i="4"/>
  <c r="Q141" i="4"/>
  <c r="M141" i="4"/>
  <c r="I141" i="4"/>
  <c r="P139" i="4"/>
  <c r="L139" i="4"/>
  <c r="H139" i="4"/>
  <c r="H144" i="4" s="1"/>
  <c r="N137" i="4"/>
  <c r="J137" i="4"/>
  <c r="Q130" i="4"/>
  <c r="M130" i="4"/>
  <c r="I130" i="4"/>
  <c r="N125" i="4"/>
  <c r="J125" i="4"/>
  <c r="Q124" i="4"/>
  <c r="M124" i="4"/>
  <c r="I124" i="4"/>
  <c r="P122" i="4"/>
  <c r="L122" i="4"/>
  <c r="H122" i="4"/>
  <c r="O118" i="4"/>
  <c r="K118" i="4"/>
  <c r="G118" i="4"/>
  <c r="N114" i="4"/>
  <c r="J114" i="4"/>
  <c r="N109" i="4"/>
  <c r="J109" i="4"/>
  <c r="J110" i="4" s="1"/>
  <c r="Q108" i="4"/>
  <c r="M108" i="4"/>
  <c r="I108" i="4"/>
  <c r="P107" i="4"/>
  <c r="L107" i="4"/>
  <c r="H107" i="4"/>
  <c r="O106" i="4"/>
  <c r="K106" i="4"/>
  <c r="G106" i="4"/>
  <c r="N105" i="4"/>
  <c r="J105" i="4"/>
  <c r="Q104" i="4"/>
  <c r="Q110" i="4" s="1"/>
  <c r="M104" i="4"/>
  <c r="I104" i="4"/>
  <c r="I110" i="4" s="1"/>
  <c r="P95" i="4"/>
  <c r="L95" i="4"/>
  <c r="H95" i="4"/>
  <c r="O90" i="4"/>
  <c r="K90" i="4"/>
  <c r="G90" i="4"/>
  <c r="N89" i="4"/>
  <c r="J89" i="4"/>
  <c r="Q88" i="4"/>
  <c r="M88" i="4"/>
  <c r="I88" i="4"/>
  <c r="P87" i="4"/>
  <c r="L87" i="4"/>
  <c r="H87" i="4"/>
  <c r="Q80" i="4"/>
  <c r="M80" i="4"/>
  <c r="I80" i="4"/>
  <c r="P79" i="4"/>
  <c r="L79" i="4"/>
  <c r="H79" i="4"/>
  <c r="O78" i="4"/>
  <c r="K78" i="4"/>
  <c r="G78" i="4"/>
  <c r="N76" i="4"/>
  <c r="J76" i="4"/>
  <c r="Q75" i="4"/>
  <c r="M75" i="4"/>
  <c r="I75" i="4"/>
  <c r="P74" i="4"/>
  <c r="L74" i="4"/>
  <c r="H74" i="4"/>
  <c r="H81" i="4" s="1"/>
  <c r="N70" i="4"/>
  <c r="J70" i="4"/>
  <c r="J71" i="4" s="1"/>
  <c r="Q69" i="4"/>
  <c r="Q71" i="4" s="1"/>
  <c r="M69" i="4"/>
  <c r="M71" i="4" s="1"/>
  <c r="I69" i="4"/>
  <c r="I71" i="4" s="1"/>
  <c r="P63" i="4"/>
  <c r="L63" i="4"/>
  <c r="H63" i="4"/>
  <c r="N60" i="4"/>
  <c r="N61" i="4" s="1"/>
  <c r="J60" i="4"/>
  <c r="J61" i="4" s="1"/>
  <c r="Q59" i="4"/>
  <c r="M59" i="4"/>
  <c r="I59" i="4"/>
  <c r="I61" i="4" s="1"/>
  <c r="O55" i="4"/>
  <c r="K55" i="4"/>
  <c r="G55" i="4"/>
  <c r="N54" i="4"/>
  <c r="N56" i="4" s="1"/>
  <c r="J54" i="4"/>
  <c r="J56" i="4" s="1"/>
  <c r="Q53" i="4"/>
  <c r="M53" i="4"/>
  <c r="I53" i="4"/>
  <c r="I56" i="4" s="1"/>
  <c r="N49" i="4"/>
  <c r="J49" i="4"/>
  <c r="Q48" i="4"/>
  <c r="M48" i="4"/>
  <c r="I48" i="4"/>
  <c r="O46" i="4"/>
  <c r="K46" i="4"/>
  <c r="G46" i="4"/>
  <c r="N43" i="4"/>
  <c r="J43" i="4"/>
  <c r="N40" i="4"/>
  <c r="J40" i="4"/>
  <c r="J41" i="4" s="1"/>
  <c r="Q38" i="4"/>
  <c r="M38" i="4"/>
  <c r="I38" i="4"/>
  <c r="P36" i="4"/>
  <c r="L36" i="4"/>
  <c r="H36" i="4"/>
  <c r="H41" i="4" s="1"/>
  <c r="K35" i="4"/>
  <c r="G35" i="4"/>
  <c r="O20" i="4"/>
  <c r="O21" i="4" s="1"/>
  <c r="O22" i="4" s="1"/>
  <c r="K20" i="4"/>
  <c r="G20" i="4"/>
  <c r="N19" i="4"/>
  <c r="J19" i="4"/>
  <c r="Q18" i="4"/>
  <c r="M18" i="4"/>
  <c r="I18" i="4"/>
  <c r="P17" i="4"/>
  <c r="P21" i="4" s="1"/>
  <c r="P22" i="4" s="1"/>
  <c r="L17" i="4"/>
  <c r="H17" i="4"/>
  <c r="H21" i="4" s="1"/>
  <c r="H22" i="4" s="1"/>
  <c r="P128" i="4"/>
  <c r="L128" i="4"/>
  <c r="H128" i="4"/>
  <c r="I119" i="8"/>
  <c r="E133" i="8"/>
  <c r="E166" i="8" s="1"/>
  <c r="I132" i="8"/>
  <c r="I31" i="8"/>
  <c r="G31" i="8"/>
  <c r="G21" i="4"/>
  <c r="G22" i="4" s="1"/>
  <c r="I155" i="4"/>
  <c r="I81" i="4"/>
  <c r="N21" i="4"/>
  <c r="N22" i="4" s="1"/>
  <c r="G101" i="5"/>
  <c r="E99" i="5"/>
  <c r="E101" i="5" s="1"/>
  <c r="E22" i="5"/>
  <c r="E21" i="5"/>
  <c r="N167" i="5"/>
  <c r="E81" i="5"/>
  <c r="E110" i="5"/>
  <c r="K156" i="5"/>
  <c r="Q156" i="5"/>
  <c r="N166" i="5"/>
  <c r="F133" i="5"/>
  <c r="F166" i="5" s="1"/>
  <c r="F167" i="5" s="1"/>
  <c r="G116" i="5"/>
  <c r="G123" i="5"/>
  <c r="G117" i="5"/>
  <c r="E117" i="5" s="1"/>
  <c r="G115" i="5"/>
  <c r="E115" i="5" s="1"/>
  <c r="G94" i="5"/>
  <c r="G86" i="5"/>
  <c r="G113" i="5"/>
  <c r="E144" i="5"/>
  <c r="E156" i="5" s="1"/>
  <c r="G26" i="5"/>
  <c r="G30" i="5" s="1"/>
  <c r="G31" i="5" s="1"/>
  <c r="K166" i="5"/>
  <c r="Q166" i="5"/>
  <c r="E82" i="5"/>
  <c r="K167" i="5"/>
  <c r="Q167" i="5"/>
  <c r="G82" i="5"/>
  <c r="O82" i="5"/>
  <c r="O166" i="5" s="1"/>
  <c r="O167" i="5" s="1"/>
  <c r="L166" i="5"/>
  <c r="L167" i="5" s="1"/>
  <c r="R166" i="5"/>
  <c r="R167" i="5" s="1"/>
  <c r="R164" i="4"/>
  <c r="M164" i="11" s="1"/>
  <c r="R155" i="4"/>
  <c r="M155" i="11" s="1"/>
  <c r="R144" i="4"/>
  <c r="M144" i="11" s="1"/>
  <c r="D133" i="4"/>
  <c r="R110" i="4"/>
  <c r="M110" i="11" s="1"/>
  <c r="R81" i="4"/>
  <c r="M81" i="11" s="1"/>
  <c r="R71" i="4"/>
  <c r="M71" i="11" s="1"/>
  <c r="R61" i="4"/>
  <c r="M61" i="11" s="1"/>
  <c r="R56" i="4"/>
  <c r="M56" i="11" s="1"/>
  <c r="R41" i="4"/>
  <c r="M41" i="11" s="1"/>
  <c r="R21" i="4"/>
  <c r="R13" i="4"/>
  <c r="M13" i="11" s="1"/>
  <c r="M15" i="12" l="1"/>
  <c r="M21" i="11"/>
  <c r="F76" i="8"/>
  <c r="G76" i="8" s="1"/>
  <c r="AB76" i="4"/>
  <c r="X76" i="4"/>
  <c r="T76" i="4"/>
  <c r="Z76" i="4"/>
  <c r="U76" i="4"/>
  <c r="AD76" i="4"/>
  <c r="Y76" i="4"/>
  <c r="S76" i="4"/>
  <c r="W76" i="4"/>
  <c r="V76" i="4"/>
  <c r="AC76" i="4"/>
  <c r="AA76" i="4"/>
  <c r="F152" i="8"/>
  <c r="G152" i="8" s="1"/>
  <c r="AB152" i="4"/>
  <c r="X152" i="4"/>
  <c r="T152" i="4"/>
  <c r="AD152" i="4"/>
  <c r="Y152" i="4"/>
  <c r="S152" i="4"/>
  <c r="AC152" i="4"/>
  <c r="W152" i="4"/>
  <c r="V152" i="4"/>
  <c r="U152" i="4"/>
  <c r="AA152" i="4"/>
  <c r="Z152" i="4"/>
  <c r="F118" i="8"/>
  <c r="G118" i="8" s="1"/>
  <c r="AB118" i="4"/>
  <c r="X118" i="4"/>
  <c r="T118" i="4"/>
  <c r="AD118" i="4"/>
  <c r="Y118" i="4"/>
  <c r="S118" i="4"/>
  <c r="AC118" i="4"/>
  <c r="W118" i="4"/>
  <c r="V118" i="4"/>
  <c r="U118" i="4"/>
  <c r="AA118" i="4"/>
  <c r="Z118" i="4"/>
  <c r="F137" i="8"/>
  <c r="G137" i="8" s="1"/>
  <c r="AB137" i="4"/>
  <c r="X137" i="4"/>
  <c r="T137" i="4"/>
  <c r="AD137" i="4"/>
  <c r="Y137" i="4"/>
  <c r="S137" i="4"/>
  <c r="AC137" i="4"/>
  <c r="W137" i="4"/>
  <c r="AA137" i="4"/>
  <c r="Z137" i="4"/>
  <c r="V137" i="4"/>
  <c r="U137" i="4"/>
  <c r="F70" i="8"/>
  <c r="G70" i="8" s="1"/>
  <c r="AB70" i="4"/>
  <c r="X70" i="4"/>
  <c r="T70" i="4"/>
  <c r="AA70" i="4"/>
  <c r="V70" i="4"/>
  <c r="Z70" i="4"/>
  <c r="U70" i="4"/>
  <c r="Y70" i="4"/>
  <c r="W70" i="4"/>
  <c r="AD70" i="4"/>
  <c r="S70" i="4"/>
  <c r="AC70" i="4"/>
  <c r="F20" i="8"/>
  <c r="G20" i="8" s="1"/>
  <c r="AB20" i="4"/>
  <c r="X20" i="4"/>
  <c r="T20" i="4"/>
  <c r="AA20" i="4"/>
  <c r="W20" i="4"/>
  <c r="S20" i="4"/>
  <c r="Z20" i="4"/>
  <c r="Y20" i="4"/>
  <c r="AD20" i="4"/>
  <c r="V20" i="4"/>
  <c r="AC20" i="4"/>
  <c r="U20" i="4"/>
  <c r="L100" i="8"/>
  <c r="M100" i="8" s="1"/>
  <c r="P100" i="1"/>
  <c r="G100" i="11"/>
  <c r="H100" i="11" s="1"/>
  <c r="X19" i="4"/>
  <c r="S21" i="4"/>
  <c r="S22" i="4" s="1"/>
  <c r="F21" i="4"/>
  <c r="F22" i="4" s="1"/>
  <c r="I21" i="4"/>
  <c r="I22" i="4" s="1"/>
  <c r="O56" i="4"/>
  <c r="O110" i="4"/>
  <c r="N110" i="4"/>
  <c r="L144" i="4"/>
  <c r="F107" i="8"/>
  <c r="G107" i="8" s="1"/>
  <c r="AB107" i="4"/>
  <c r="X107" i="4"/>
  <c r="T107" i="4"/>
  <c r="AC107" i="4"/>
  <c r="W107" i="4"/>
  <c r="AA107" i="4"/>
  <c r="V107" i="4"/>
  <c r="Z107" i="4"/>
  <c r="Y107" i="4"/>
  <c r="U107" i="4"/>
  <c r="AD107" i="4"/>
  <c r="S107" i="4"/>
  <c r="F141" i="8"/>
  <c r="G141" i="8" s="1"/>
  <c r="AB141" i="4"/>
  <c r="X141" i="4"/>
  <c r="T141" i="4"/>
  <c r="AC141" i="4"/>
  <c r="W141" i="4"/>
  <c r="AA141" i="4"/>
  <c r="V141" i="4"/>
  <c r="Z141" i="4"/>
  <c r="Y141" i="4"/>
  <c r="U141" i="4"/>
  <c r="AD141" i="4"/>
  <c r="S141" i="4"/>
  <c r="F106" i="8"/>
  <c r="G106" i="8" s="1"/>
  <c r="AB106" i="4"/>
  <c r="X106" i="4"/>
  <c r="T106" i="4"/>
  <c r="AD106" i="4"/>
  <c r="Y106" i="4"/>
  <c r="S106" i="4"/>
  <c r="AC106" i="4"/>
  <c r="W106" i="4"/>
  <c r="AA106" i="4"/>
  <c r="Z106" i="4"/>
  <c r="V106" i="4"/>
  <c r="U106" i="4"/>
  <c r="F17" i="8"/>
  <c r="G17" i="8" s="1"/>
  <c r="AB17" i="4"/>
  <c r="AB21" i="4" s="1"/>
  <c r="AB22" i="4" s="1"/>
  <c r="X17" i="4"/>
  <c r="X21" i="4" s="1"/>
  <c r="X22" i="4" s="1"/>
  <c r="T17" i="4"/>
  <c r="T21" i="4" s="1"/>
  <c r="T22" i="4" s="1"/>
  <c r="AA17" i="4"/>
  <c r="W17" i="4"/>
  <c r="W21" i="4" s="1"/>
  <c r="W22" i="4" s="1"/>
  <c r="S17" i="4"/>
  <c r="AD17" i="4"/>
  <c r="V17" i="4"/>
  <c r="V21" i="4" s="1"/>
  <c r="V22" i="4" s="1"/>
  <c r="AC17" i="4"/>
  <c r="AC21" i="4" s="1"/>
  <c r="AC22" i="4" s="1"/>
  <c r="U17" i="4"/>
  <c r="Z17" i="4"/>
  <c r="Y17" i="4"/>
  <c r="Y21" i="4" s="1"/>
  <c r="Y22" i="4" s="1"/>
  <c r="W40" i="4"/>
  <c r="F18" i="8"/>
  <c r="G18" i="8" s="1"/>
  <c r="AB18" i="4"/>
  <c r="X18" i="4"/>
  <c r="T18" i="4"/>
  <c r="AA18" i="4"/>
  <c r="W18" i="4"/>
  <c r="S18" i="4"/>
  <c r="Z18" i="4"/>
  <c r="Z21" i="4" s="1"/>
  <c r="Z22" i="4" s="1"/>
  <c r="Y18" i="4"/>
  <c r="AD18" i="4"/>
  <c r="V18" i="4"/>
  <c r="AC18" i="4"/>
  <c r="U18" i="4"/>
  <c r="P71" i="4"/>
  <c r="O144" i="4"/>
  <c r="K155" i="4"/>
  <c r="F38" i="8"/>
  <c r="G38" i="8" s="1"/>
  <c r="AB38" i="4"/>
  <c r="X38" i="4"/>
  <c r="T38" i="4"/>
  <c r="Z38" i="4"/>
  <c r="U38" i="4"/>
  <c r="AD38" i="4"/>
  <c r="Y38" i="4"/>
  <c r="S38" i="4"/>
  <c r="AA38" i="4"/>
  <c r="W38" i="4"/>
  <c r="V38" i="4"/>
  <c r="AC38" i="4"/>
  <c r="F59" i="8"/>
  <c r="G59" i="8" s="1"/>
  <c r="AB59" i="4"/>
  <c r="X59" i="4"/>
  <c r="T59" i="4"/>
  <c r="AD59" i="4"/>
  <c r="Y59" i="4"/>
  <c r="S59" i="4"/>
  <c r="AC59" i="4"/>
  <c r="W59" i="4"/>
  <c r="AA59" i="4"/>
  <c r="Z59" i="4"/>
  <c r="V59" i="4"/>
  <c r="U59" i="4"/>
  <c r="F40" i="8"/>
  <c r="G40" i="8" s="1"/>
  <c r="V40" i="4"/>
  <c r="AC19" i="4"/>
  <c r="W19" i="4"/>
  <c r="AB19" i="4"/>
  <c r="AD21" i="4"/>
  <c r="AD22" i="4" s="1"/>
  <c r="AE22" i="4" s="1"/>
  <c r="F130" i="8"/>
  <c r="G130" i="8" s="1"/>
  <c r="AB130" i="4"/>
  <c r="X130" i="4"/>
  <c r="T130" i="4"/>
  <c r="Z130" i="4"/>
  <c r="U130" i="4"/>
  <c r="AD130" i="4"/>
  <c r="Y130" i="4"/>
  <c r="S130" i="4"/>
  <c r="AC130" i="4"/>
  <c r="AA130" i="4"/>
  <c r="W130" i="4"/>
  <c r="V130" i="4"/>
  <c r="F95" i="8"/>
  <c r="G95" i="8" s="1"/>
  <c r="AB95" i="4"/>
  <c r="X95" i="4"/>
  <c r="T95" i="4"/>
  <c r="AA95" i="4"/>
  <c r="V95" i="4"/>
  <c r="Z95" i="4"/>
  <c r="U95" i="4"/>
  <c r="AD95" i="4"/>
  <c r="S95" i="4"/>
  <c r="AC95" i="4"/>
  <c r="Y95" i="4"/>
  <c r="W95" i="4"/>
  <c r="F55" i="8"/>
  <c r="G55" i="8" s="1"/>
  <c r="AB55" i="4"/>
  <c r="X55" i="4"/>
  <c r="T55" i="4"/>
  <c r="Z55" i="4"/>
  <c r="U55" i="4"/>
  <c r="AD55" i="4"/>
  <c r="Y55" i="4"/>
  <c r="S55" i="4"/>
  <c r="AC55" i="4"/>
  <c r="AA55" i="4"/>
  <c r="W55" i="4"/>
  <c r="V55" i="4"/>
  <c r="F124" i="8"/>
  <c r="G124" i="8" s="1"/>
  <c r="AB124" i="4"/>
  <c r="X124" i="4"/>
  <c r="T124" i="4"/>
  <c r="AC124" i="4"/>
  <c r="W124" i="4"/>
  <c r="AA124" i="4"/>
  <c r="V124" i="4"/>
  <c r="U124" i="4"/>
  <c r="AD124" i="4"/>
  <c r="S124" i="4"/>
  <c r="Z124" i="4"/>
  <c r="Y124" i="4"/>
  <c r="F108" i="8"/>
  <c r="G108" i="8" s="1"/>
  <c r="AB108" i="4"/>
  <c r="X108" i="4"/>
  <c r="T108" i="4"/>
  <c r="AA108" i="4"/>
  <c r="V108" i="4"/>
  <c r="Z108" i="4"/>
  <c r="U108" i="4"/>
  <c r="Y108" i="4"/>
  <c r="W108" i="4"/>
  <c r="AD108" i="4"/>
  <c r="S108" i="4"/>
  <c r="AC108" i="4"/>
  <c r="F149" i="8"/>
  <c r="G149" i="8" s="1"/>
  <c r="AB149" i="4"/>
  <c r="X149" i="4"/>
  <c r="T149" i="4"/>
  <c r="Z149" i="4"/>
  <c r="U149" i="4"/>
  <c r="AD149" i="4"/>
  <c r="Y149" i="4"/>
  <c r="S149" i="4"/>
  <c r="W149" i="4"/>
  <c r="V149" i="4"/>
  <c r="V155" i="4" s="1"/>
  <c r="AC149" i="4"/>
  <c r="AA149" i="4"/>
  <c r="F114" i="8"/>
  <c r="G114" i="8" s="1"/>
  <c r="AB114" i="4"/>
  <c r="X114" i="4"/>
  <c r="T114" i="4"/>
  <c r="Z114" i="4"/>
  <c r="U114" i="4"/>
  <c r="AD114" i="4"/>
  <c r="Y114" i="4"/>
  <c r="S114" i="4"/>
  <c r="W114" i="4"/>
  <c r="V114" i="4"/>
  <c r="AC114" i="4"/>
  <c r="AA114" i="4"/>
  <c r="X40" i="4"/>
  <c r="F49" i="8"/>
  <c r="G49" i="8" s="1"/>
  <c r="AB49" i="4"/>
  <c r="X49" i="4"/>
  <c r="T49" i="4"/>
  <c r="AA49" i="4"/>
  <c r="V49" i="4"/>
  <c r="Z49" i="4"/>
  <c r="U49" i="4"/>
  <c r="AD49" i="4"/>
  <c r="S49" i="4"/>
  <c r="AC49" i="4"/>
  <c r="Y49" i="4"/>
  <c r="W49" i="4"/>
  <c r="F63" i="8"/>
  <c r="G63" i="8" s="1"/>
  <c r="AB63" i="4"/>
  <c r="X63" i="4"/>
  <c r="T63" i="4"/>
  <c r="AC63" i="4"/>
  <c r="W63" i="4"/>
  <c r="AA63" i="4"/>
  <c r="V63" i="4"/>
  <c r="Z63" i="4"/>
  <c r="Y63" i="4"/>
  <c r="U63" i="4"/>
  <c r="AD63" i="4"/>
  <c r="S63" i="4"/>
  <c r="Y19" i="4"/>
  <c r="V19" i="4"/>
  <c r="AA19" i="4"/>
  <c r="U21" i="4"/>
  <c r="U22" i="4" s="1"/>
  <c r="AA21" i="4"/>
  <c r="AA22" i="4" s="1"/>
  <c r="P16" i="1"/>
  <c r="G16" i="11"/>
  <c r="L16" i="8"/>
  <c r="G81" i="4"/>
  <c r="L155" i="4"/>
  <c r="F125" i="8"/>
  <c r="G125" i="8" s="1"/>
  <c r="AB125" i="4"/>
  <c r="X125" i="4"/>
  <c r="T125" i="4"/>
  <c r="AA125" i="4"/>
  <c r="V125" i="4"/>
  <c r="Z125" i="4"/>
  <c r="U125" i="4"/>
  <c r="AD125" i="4"/>
  <c r="S125" i="4"/>
  <c r="AC125" i="4"/>
  <c r="Y125" i="4"/>
  <c r="W125" i="4"/>
  <c r="F89" i="8"/>
  <c r="G89" i="8" s="1"/>
  <c r="AB89" i="4"/>
  <c r="X89" i="4"/>
  <c r="T89" i="4"/>
  <c r="AD89" i="4"/>
  <c r="Y89" i="4"/>
  <c r="S89" i="4"/>
  <c r="AC89" i="4"/>
  <c r="W89" i="4"/>
  <c r="V89" i="4"/>
  <c r="U89" i="4"/>
  <c r="AA89" i="4"/>
  <c r="Z89" i="4"/>
  <c r="F90" i="8"/>
  <c r="G90" i="8" s="1"/>
  <c r="AB90" i="4"/>
  <c r="X90" i="4"/>
  <c r="T90" i="4"/>
  <c r="AC90" i="4"/>
  <c r="W90" i="4"/>
  <c r="AA90" i="4"/>
  <c r="V90" i="4"/>
  <c r="U90" i="4"/>
  <c r="AD90" i="4"/>
  <c r="S90" i="4"/>
  <c r="Z90" i="4"/>
  <c r="Y90" i="4"/>
  <c r="F36" i="8"/>
  <c r="G36" i="8" s="1"/>
  <c r="AB36" i="4"/>
  <c r="X36" i="4"/>
  <c r="T36" i="4"/>
  <c r="AA36" i="4"/>
  <c r="W36" i="4"/>
  <c r="S36" i="4"/>
  <c r="AC36" i="4"/>
  <c r="U36" i="4"/>
  <c r="Z36" i="4"/>
  <c r="Y36" i="4"/>
  <c r="AD36" i="4"/>
  <c r="V36" i="4"/>
  <c r="J144" i="4"/>
  <c r="Z19" i="4"/>
  <c r="P148" i="1"/>
  <c r="G148" i="11"/>
  <c r="H148" i="11" s="1"/>
  <c r="L148" i="8"/>
  <c r="M148" i="8" s="1"/>
  <c r="M155" i="4"/>
  <c r="AD163" i="4"/>
  <c r="AD164" i="4" s="1"/>
  <c r="Z163" i="4"/>
  <c r="Z164" i="4" s="1"/>
  <c r="V163" i="4"/>
  <c r="V164" i="4" s="1"/>
  <c r="Y163" i="4"/>
  <c r="Y164" i="4" s="1"/>
  <c r="AB163" i="4"/>
  <c r="AB164" i="4" s="1"/>
  <c r="X163" i="4"/>
  <c r="X164" i="4" s="1"/>
  <c r="T163" i="4"/>
  <c r="AA163" i="4"/>
  <c r="AA164" i="4" s="1"/>
  <c r="W163" i="4"/>
  <c r="W164" i="4" s="1"/>
  <c r="S163" i="4"/>
  <c r="S164" i="4" s="1"/>
  <c r="AC163" i="4"/>
  <c r="AC164" i="4" s="1"/>
  <c r="U163" i="4"/>
  <c r="U164" i="4" s="1"/>
  <c r="F154" i="8"/>
  <c r="G154" i="8" s="1"/>
  <c r="AA154" i="4"/>
  <c r="W154" i="4"/>
  <c r="S154" i="4"/>
  <c r="AC154" i="4"/>
  <c r="AB154" i="4"/>
  <c r="X154" i="4"/>
  <c r="T154" i="4"/>
  <c r="AD154" i="4"/>
  <c r="Z154" i="4"/>
  <c r="V154" i="4"/>
  <c r="Y154" i="4"/>
  <c r="U154" i="4"/>
  <c r="F153" i="8"/>
  <c r="G153" i="8" s="1"/>
  <c r="AB153" i="4"/>
  <c r="X153" i="4"/>
  <c r="T153" i="4"/>
  <c r="AD153" i="4"/>
  <c r="Z153" i="4"/>
  <c r="Y153" i="4"/>
  <c r="AA153" i="4"/>
  <c r="W153" i="4"/>
  <c r="S153" i="4"/>
  <c r="V153" i="4"/>
  <c r="AC153" i="4"/>
  <c r="U153" i="4"/>
  <c r="F151" i="8"/>
  <c r="G151" i="8" s="1"/>
  <c r="AC151" i="4"/>
  <c r="Y151" i="4"/>
  <c r="U151" i="4"/>
  <c r="AA151" i="4"/>
  <c r="W151" i="4"/>
  <c r="Z151" i="4"/>
  <c r="V151" i="4"/>
  <c r="AB151" i="4"/>
  <c r="X151" i="4"/>
  <c r="T151" i="4"/>
  <c r="S151" i="4"/>
  <c r="AD151" i="4"/>
  <c r="F155" i="4"/>
  <c r="Q155" i="4"/>
  <c r="F150" i="8"/>
  <c r="G150" i="8" s="1"/>
  <c r="AD150" i="4"/>
  <c r="Z150" i="4"/>
  <c r="V150" i="4"/>
  <c r="AC150" i="4"/>
  <c r="Y150" i="4"/>
  <c r="U150" i="4"/>
  <c r="U155" i="4" s="1"/>
  <c r="AB150" i="4"/>
  <c r="X150" i="4"/>
  <c r="T150" i="4"/>
  <c r="AA150" i="4"/>
  <c r="W150" i="4"/>
  <c r="S150" i="4"/>
  <c r="H156" i="4"/>
  <c r="J155" i="4"/>
  <c r="P147" i="1"/>
  <c r="G147" i="11"/>
  <c r="L147" i="8"/>
  <c r="L156" i="4"/>
  <c r="P143" i="1"/>
  <c r="G143" i="11"/>
  <c r="H143" i="11" s="1"/>
  <c r="L143" i="8"/>
  <c r="M143" i="8" s="1"/>
  <c r="F142" i="8"/>
  <c r="G142" i="8" s="1"/>
  <c r="AB142" i="4"/>
  <c r="X142" i="4"/>
  <c r="T142" i="4"/>
  <c r="AD142" i="4"/>
  <c r="V142" i="4"/>
  <c r="AC142" i="4"/>
  <c r="AA142" i="4"/>
  <c r="W142" i="4"/>
  <c r="S142" i="4"/>
  <c r="Z142" i="4"/>
  <c r="Y142" i="4"/>
  <c r="U142" i="4"/>
  <c r="P140" i="1"/>
  <c r="G140" i="11"/>
  <c r="H140" i="11" s="1"/>
  <c r="L140" i="8"/>
  <c r="M140" i="8" s="1"/>
  <c r="F139" i="8"/>
  <c r="G139" i="8" s="1"/>
  <c r="AD139" i="4"/>
  <c r="Z139" i="4"/>
  <c r="V139" i="4"/>
  <c r="AB139" i="4"/>
  <c r="T139" i="4"/>
  <c r="AA139" i="4"/>
  <c r="AC139" i="4"/>
  <c r="Y139" i="4"/>
  <c r="U139" i="4"/>
  <c r="X139" i="4"/>
  <c r="W139" i="4"/>
  <c r="S139" i="4"/>
  <c r="F138" i="8"/>
  <c r="G138" i="8" s="1"/>
  <c r="AC138" i="4"/>
  <c r="Y138" i="4"/>
  <c r="U138" i="4"/>
  <c r="U144" i="4" s="1"/>
  <c r="AA138" i="4"/>
  <c r="S138" i="4"/>
  <c r="S144" i="4" s="1"/>
  <c r="Z138" i="4"/>
  <c r="V138" i="4"/>
  <c r="AB138" i="4"/>
  <c r="X138" i="4"/>
  <c r="X144" i="4" s="1"/>
  <c r="T138" i="4"/>
  <c r="W138" i="4"/>
  <c r="AD138" i="4"/>
  <c r="K156" i="4"/>
  <c r="N144" i="4"/>
  <c r="O156" i="4"/>
  <c r="P131" i="1"/>
  <c r="G131" i="11"/>
  <c r="H131" i="11" s="1"/>
  <c r="L131" i="8"/>
  <c r="M131" i="8" s="1"/>
  <c r="P129" i="1"/>
  <c r="G129" i="11"/>
  <c r="H129" i="11" s="1"/>
  <c r="L129" i="8"/>
  <c r="M129" i="8" s="1"/>
  <c r="F128" i="8"/>
  <c r="G128" i="8" s="1"/>
  <c r="AB128" i="4"/>
  <c r="X128" i="4"/>
  <c r="T128" i="4"/>
  <c r="AD128" i="4"/>
  <c r="V128" i="4"/>
  <c r="AC128" i="4"/>
  <c r="U128" i="4"/>
  <c r="AA128" i="4"/>
  <c r="W128" i="4"/>
  <c r="S128" i="4"/>
  <c r="Z128" i="4"/>
  <c r="Y128" i="4"/>
  <c r="F122" i="8"/>
  <c r="G122" i="8" s="1"/>
  <c r="AA122" i="4"/>
  <c r="W122" i="4"/>
  <c r="S122" i="4"/>
  <c r="AC122" i="4"/>
  <c r="U122" i="4"/>
  <c r="X122" i="4"/>
  <c r="AD122" i="4"/>
  <c r="Z122" i="4"/>
  <c r="V122" i="4"/>
  <c r="Y122" i="4"/>
  <c r="AB122" i="4"/>
  <c r="T122" i="4"/>
  <c r="M110" i="4"/>
  <c r="K110" i="4"/>
  <c r="F109" i="8"/>
  <c r="G109" i="8" s="1"/>
  <c r="AC109" i="4"/>
  <c r="Y109" i="4"/>
  <c r="U109" i="4"/>
  <c r="AB109" i="4"/>
  <c r="X109" i="4"/>
  <c r="T109" i="4"/>
  <c r="AA109" i="4"/>
  <c r="W109" i="4"/>
  <c r="S109" i="4"/>
  <c r="AD109" i="4"/>
  <c r="Z109" i="4"/>
  <c r="V109" i="4"/>
  <c r="H110" i="4"/>
  <c r="F105" i="8"/>
  <c r="G105" i="8" s="1"/>
  <c r="AC105" i="4"/>
  <c r="Y105" i="4"/>
  <c r="U105" i="4"/>
  <c r="AB105" i="4"/>
  <c r="X105" i="4"/>
  <c r="T105" i="4"/>
  <c r="AA105" i="4"/>
  <c r="W105" i="4"/>
  <c r="S105" i="4"/>
  <c r="AD105" i="4"/>
  <c r="Z105" i="4"/>
  <c r="V105" i="4"/>
  <c r="L110" i="4"/>
  <c r="F104" i="8"/>
  <c r="G104" i="8" s="1"/>
  <c r="AB104" i="4"/>
  <c r="AB110" i="4" s="1"/>
  <c r="X104" i="4"/>
  <c r="T104" i="4"/>
  <c r="AD104" i="4"/>
  <c r="V104" i="4"/>
  <c r="V110" i="4" s="1"/>
  <c r="AC104" i="4"/>
  <c r="U104" i="4"/>
  <c r="AA104" i="4"/>
  <c r="W104" i="4"/>
  <c r="W110" i="4" s="1"/>
  <c r="S104" i="4"/>
  <c r="Z104" i="4"/>
  <c r="Y104" i="4"/>
  <c r="P110" i="4"/>
  <c r="F88" i="8"/>
  <c r="G88" i="8" s="1"/>
  <c r="AC88" i="4"/>
  <c r="Y88" i="4"/>
  <c r="U88" i="4"/>
  <c r="AA88" i="4"/>
  <c r="S88" i="4"/>
  <c r="Z88" i="4"/>
  <c r="V88" i="4"/>
  <c r="AB88" i="4"/>
  <c r="X88" i="4"/>
  <c r="T88" i="4"/>
  <c r="W88" i="4"/>
  <c r="AD88" i="4"/>
  <c r="F87" i="8"/>
  <c r="G87" i="8" s="1"/>
  <c r="AD87" i="4"/>
  <c r="Z87" i="4"/>
  <c r="V87" i="4"/>
  <c r="AB87" i="4"/>
  <c r="T87" i="4"/>
  <c r="AA87" i="4"/>
  <c r="S87" i="4"/>
  <c r="AC87" i="4"/>
  <c r="Y87" i="4"/>
  <c r="U87" i="4"/>
  <c r="X87" i="4"/>
  <c r="W87" i="4"/>
  <c r="AB40" i="4"/>
  <c r="N41" i="4"/>
  <c r="AD40" i="4"/>
  <c r="U40" i="4"/>
  <c r="AA40" i="4"/>
  <c r="Z40" i="4"/>
  <c r="AC40" i="4"/>
  <c r="T40" i="4"/>
  <c r="Y40" i="4"/>
  <c r="Q81" i="4"/>
  <c r="F80" i="8"/>
  <c r="G80" i="8" s="1"/>
  <c r="AB80" i="4"/>
  <c r="X80" i="4"/>
  <c r="T80" i="4"/>
  <c r="AD80" i="4"/>
  <c r="V80" i="4"/>
  <c r="Y80" i="4"/>
  <c r="AA80" i="4"/>
  <c r="W80" i="4"/>
  <c r="S80" i="4"/>
  <c r="Z80" i="4"/>
  <c r="AC80" i="4"/>
  <c r="U80" i="4"/>
  <c r="F79" i="8"/>
  <c r="G79" i="8" s="1"/>
  <c r="AC79" i="4"/>
  <c r="Y79" i="4"/>
  <c r="U79" i="4"/>
  <c r="AB79" i="4"/>
  <c r="T79" i="4"/>
  <c r="AA79" i="4"/>
  <c r="S79" i="4"/>
  <c r="AD79" i="4"/>
  <c r="Z79" i="4"/>
  <c r="V79" i="4"/>
  <c r="X79" i="4"/>
  <c r="W79" i="4"/>
  <c r="L81" i="4"/>
  <c r="J81" i="4"/>
  <c r="F78" i="8"/>
  <c r="G78" i="8" s="1"/>
  <c r="AD78" i="4"/>
  <c r="Z78" i="4"/>
  <c r="V78" i="4"/>
  <c r="X78" i="4"/>
  <c r="T78" i="4"/>
  <c r="W78" i="4"/>
  <c r="AC78" i="4"/>
  <c r="Y78" i="4"/>
  <c r="U78" i="4"/>
  <c r="AB78" i="4"/>
  <c r="AA78" i="4"/>
  <c r="S78" i="4"/>
  <c r="M81" i="4"/>
  <c r="F75" i="8"/>
  <c r="G75" i="8" s="1"/>
  <c r="AB75" i="4"/>
  <c r="X75" i="4"/>
  <c r="T75" i="4"/>
  <c r="AD75" i="4"/>
  <c r="V75" i="4"/>
  <c r="Y75" i="4"/>
  <c r="U75" i="4"/>
  <c r="AA75" i="4"/>
  <c r="W75" i="4"/>
  <c r="S75" i="4"/>
  <c r="Z75" i="4"/>
  <c r="AC75" i="4"/>
  <c r="P81" i="4"/>
  <c r="O81" i="4"/>
  <c r="F74" i="8"/>
  <c r="G74" i="8" s="1"/>
  <c r="AA74" i="4"/>
  <c r="W74" i="4"/>
  <c r="S74" i="4"/>
  <c r="Y74" i="4"/>
  <c r="AB74" i="4"/>
  <c r="T74" i="4"/>
  <c r="AD74" i="4"/>
  <c r="Z74" i="4"/>
  <c r="V74" i="4"/>
  <c r="AC74" i="4"/>
  <c r="AC81" i="4" s="1"/>
  <c r="U74" i="4"/>
  <c r="X74" i="4"/>
  <c r="K81" i="4"/>
  <c r="F69" i="8"/>
  <c r="AC69" i="4"/>
  <c r="AC71" i="4" s="1"/>
  <c r="Y69" i="4"/>
  <c r="Y71" i="4" s="1"/>
  <c r="U69" i="4"/>
  <c r="W69" i="4"/>
  <c r="W71" i="4" s="1"/>
  <c r="AD69" i="4"/>
  <c r="AD71" i="4" s="1"/>
  <c r="V69" i="4"/>
  <c r="V71" i="4" s="1"/>
  <c r="AB69" i="4"/>
  <c r="X69" i="4"/>
  <c r="X71" i="4" s="1"/>
  <c r="T69" i="4"/>
  <c r="AA69" i="4"/>
  <c r="AA71" i="4" s="1"/>
  <c r="S69" i="4"/>
  <c r="Z69" i="4"/>
  <c r="Z71" i="4" s="1"/>
  <c r="Q61" i="4"/>
  <c r="F60" i="8"/>
  <c r="G60" i="8" s="1"/>
  <c r="AC60" i="4"/>
  <c r="AC61" i="4" s="1"/>
  <c r="Y60" i="4"/>
  <c r="Y61" i="4" s="1"/>
  <c r="U60" i="4"/>
  <c r="AB60" i="4"/>
  <c r="AB61" i="4" s="1"/>
  <c r="AA60" i="4"/>
  <c r="AA61" i="4" s="1"/>
  <c r="S60" i="4"/>
  <c r="S61" i="4" s="1"/>
  <c r="AD60" i="4"/>
  <c r="Z60" i="4"/>
  <c r="Z61" i="4" s="1"/>
  <c r="V60" i="4"/>
  <c r="V61" i="4" s="1"/>
  <c r="X60" i="4"/>
  <c r="X61" i="4" s="1"/>
  <c r="T60" i="4"/>
  <c r="W60" i="4"/>
  <c r="W61" i="4" s="1"/>
  <c r="F61" i="4"/>
  <c r="M61" i="4"/>
  <c r="Q56" i="4"/>
  <c r="K56" i="4"/>
  <c r="F54" i="8"/>
  <c r="G54" i="8" s="1"/>
  <c r="AD54" i="4"/>
  <c r="Z54" i="4"/>
  <c r="V54" i="4"/>
  <c r="AB54" i="4"/>
  <c r="T54" i="4"/>
  <c r="AA54" i="4"/>
  <c r="S54" i="4"/>
  <c r="AC54" i="4"/>
  <c r="Y54" i="4"/>
  <c r="U54" i="4"/>
  <c r="X54" i="4"/>
  <c r="W54" i="4"/>
  <c r="F53" i="8"/>
  <c r="AC53" i="4"/>
  <c r="Y53" i="4"/>
  <c r="U53" i="4"/>
  <c r="W53" i="4"/>
  <c r="W56" i="4" s="1"/>
  <c r="AD53" i="4"/>
  <c r="V53" i="4"/>
  <c r="V56" i="4" s="1"/>
  <c r="AB53" i="4"/>
  <c r="X53" i="4"/>
  <c r="T53" i="4"/>
  <c r="AA53" i="4"/>
  <c r="S53" i="4"/>
  <c r="Z53" i="4"/>
  <c r="Z56" i="4" s="1"/>
  <c r="F48" i="8"/>
  <c r="G48" i="8" s="1"/>
  <c r="AD48" i="4"/>
  <c r="Z48" i="4"/>
  <c r="V48" i="4"/>
  <c r="AB48" i="4"/>
  <c r="T48" i="4"/>
  <c r="AA48" i="4"/>
  <c r="AC48" i="4"/>
  <c r="Y48" i="4"/>
  <c r="U48" i="4"/>
  <c r="X48" i="4"/>
  <c r="W48" i="4"/>
  <c r="S48" i="4"/>
  <c r="F46" i="8"/>
  <c r="G46" i="8" s="1"/>
  <c r="AD46" i="4"/>
  <c r="Z46" i="4"/>
  <c r="V46" i="4"/>
  <c r="X46" i="4"/>
  <c r="T46" i="4"/>
  <c r="AA46" i="4"/>
  <c r="S46" i="4"/>
  <c r="AC46" i="4"/>
  <c r="Y46" i="4"/>
  <c r="U46" i="4"/>
  <c r="AB46" i="4"/>
  <c r="W46" i="4"/>
  <c r="F43" i="8"/>
  <c r="G43" i="8" s="1"/>
  <c r="AA43" i="4"/>
  <c r="W43" i="4"/>
  <c r="S43" i="4"/>
  <c r="Y43" i="4"/>
  <c r="U43" i="4"/>
  <c r="AB43" i="4"/>
  <c r="T43" i="4"/>
  <c r="AD43" i="4"/>
  <c r="Z43" i="4"/>
  <c r="V43" i="4"/>
  <c r="AC43" i="4"/>
  <c r="X43" i="4"/>
  <c r="F35" i="8"/>
  <c r="AC35" i="4"/>
  <c r="Y35" i="4"/>
  <c r="Y41" i="4" s="1"/>
  <c r="U35" i="4"/>
  <c r="W35" i="4"/>
  <c r="W41" i="4" s="1"/>
  <c r="Z35" i="4"/>
  <c r="AB35" i="4"/>
  <c r="AB41" i="4" s="1"/>
  <c r="X35" i="4"/>
  <c r="T35" i="4"/>
  <c r="AA35" i="4"/>
  <c r="S35" i="4"/>
  <c r="S41" i="4" s="1"/>
  <c r="AD35" i="4"/>
  <c r="V35" i="4"/>
  <c r="V41" i="4" s="1"/>
  <c r="L41" i="4"/>
  <c r="M14" i="12"/>
  <c r="J167" i="11"/>
  <c r="O167" i="8"/>
  <c r="O166" i="8"/>
  <c r="J166" i="11"/>
  <c r="F19" i="12"/>
  <c r="AD168" i="7"/>
  <c r="G156" i="4"/>
  <c r="M144" i="4"/>
  <c r="M156" i="4" s="1"/>
  <c r="F126" i="4"/>
  <c r="G126" i="4"/>
  <c r="K126" i="4"/>
  <c r="O126" i="4"/>
  <c r="H126" i="4"/>
  <c r="P126" i="4"/>
  <c r="I126" i="4"/>
  <c r="M126" i="4"/>
  <c r="Q126" i="4"/>
  <c r="J126" i="4"/>
  <c r="N126" i="4"/>
  <c r="L126" i="4"/>
  <c r="F144" i="4"/>
  <c r="G41" i="4"/>
  <c r="F127" i="4"/>
  <c r="H127" i="4"/>
  <c r="L127" i="4"/>
  <c r="P127" i="4"/>
  <c r="M127" i="4"/>
  <c r="J127" i="4"/>
  <c r="G127" i="4"/>
  <c r="K127" i="4"/>
  <c r="O127" i="4"/>
  <c r="I127" i="4"/>
  <c r="Q127" i="4"/>
  <c r="N127" i="4"/>
  <c r="F81" i="4"/>
  <c r="P41" i="4"/>
  <c r="N71" i="4"/>
  <c r="H47" i="4"/>
  <c r="H50" i="4" s="1"/>
  <c r="L47" i="4"/>
  <c r="L50" i="4" s="1"/>
  <c r="P47" i="4"/>
  <c r="P50" i="4" s="1"/>
  <c r="I47" i="4"/>
  <c r="I50" i="4" s="1"/>
  <c r="I82" i="4" s="1"/>
  <c r="Q47" i="4"/>
  <c r="Q50" i="4" s="1"/>
  <c r="N47" i="4"/>
  <c r="N50" i="4" s="1"/>
  <c r="G47" i="4"/>
  <c r="G50" i="4" s="1"/>
  <c r="K47" i="4"/>
  <c r="K50" i="4" s="1"/>
  <c r="O47" i="4"/>
  <c r="O50" i="4" s="1"/>
  <c r="M47" i="4"/>
  <c r="M50" i="4" s="1"/>
  <c r="J47" i="4"/>
  <c r="J50" i="4" s="1"/>
  <c r="F41" i="4"/>
  <c r="F110" i="4"/>
  <c r="F71" i="4"/>
  <c r="Q21" i="4"/>
  <c r="Q22" i="4" s="1"/>
  <c r="M56" i="4"/>
  <c r="G56" i="4"/>
  <c r="O41" i="4"/>
  <c r="M41" i="4"/>
  <c r="P56" i="4"/>
  <c r="I144" i="4"/>
  <c r="I156" i="4" s="1"/>
  <c r="N81" i="4"/>
  <c r="P156" i="4"/>
  <c r="N155" i="4"/>
  <c r="H56" i="4"/>
  <c r="Q144" i="4"/>
  <c r="F56" i="4"/>
  <c r="M21" i="4"/>
  <c r="M22" i="4" s="1"/>
  <c r="F164" i="4"/>
  <c r="F163" i="8"/>
  <c r="K41" i="4"/>
  <c r="L56" i="4"/>
  <c r="I133" i="8"/>
  <c r="I166" i="8"/>
  <c r="E167" i="8"/>
  <c r="I167" i="8" s="1"/>
  <c r="L123" i="11"/>
  <c r="L115" i="11"/>
  <c r="M115" i="11" s="1"/>
  <c r="R50" i="4"/>
  <c r="F47" i="4"/>
  <c r="G91" i="5"/>
  <c r="E86" i="5"/>
  <c r="E91" i="5" s="1"/>
  <c r="G132" i="5"/>
  <c r="E123" i="5"/>
  <c r="E132" i="5" s="1"/>
  <c r="G96" i="5"/>
  <c r="E94" i="5"/>
  <c r="E96" i="5" s="1"/>
  <c r="G119" i="5"/>
  <c r="E113" i="5"/>
  <c r="E119" i="5" s="1"/>
  <c r="R156" i="4"/>
  <c r="M156" i="11" s="1"/>
  <c r="R22" i="4"/>
  <c r="M22" i="11" s="1"/>
  <c r="D163" i="3"/>
  <c r="F163" i="3" s="1"/>
  <c r="D162" i="3"/>
  <c r="F162" i="3" s="1"/>
  <c r="D161" i="3"/>
  <c r="F161" i="3" s="1"/>
  <c r="D160" i="3"/>
  <c r="F160" i="3" s="1"/>
  <c r="D154" i="3"/>
  <c r="F154" i="3" s="1"/>
  <c r="D153" i="3"/>
  <c r="F153" i="3" s="1"/>
  <c r="D152" i="3"/>
  <c r="F152" i="3" s="1"/>
  <c r="D151" i="3"/>
  <c r="F151" i="3" s="1"/>
  <c r="D150" i="3"/>
  <c r="F150" i="3" s="1"/>
  <c r="D149" i="3"/>
  <c r="F149" i="3" s="1"/>
  <c r="D148" i="3"/>
  <c r="F148" i="3" s="1"/>
  <c r="D147" i="3"/>
  <c r="F147" i="3" s="1"/>
  <c r="D143" i="3"/>
  <c r="F143" i="3" s="1"/>
  <c r="D142" i="3"/>
  <c r="F142" i="3" s="1"/>
  <c r="D141" i="3"/>
  <c r="F141" i="3" s="1"/>
  <c r="D140" i="3"/>
  <c r="F140" i="3" s="1"/>
  <c r="D139" i="3"/>
  <c r="F139" i="3" s="1"/>
  <c r="D138" i="3"/>
  <c r="F138" i="3" s="1"/>
  <c r="D137" i="3"/>
  <c r="F137" i="3" s="1"/>
  <c r="D131" i="3"/>
  <c r="F131" i="3" s="1"/>
  <c r="D130" i="3"/>
  <c r="F130" i="3" s="1"/>
  <c r="D129" i="3"/>
  <c r="F129" i="3" s="1"/>
  <c r="D128" i="3"/>
  <c r="F128" i="3" s="1"/>
  <c r="D125" i="3"/>
  <c r="F125" i="3" s="1"/>
  <c r="D124" i="3"/>
  <c r="F124" i="3" s="1"/>
  <c r="D122" i="3"/>
  <c r="F122" i="3" s="1"/>
  <c r="D118" i="3"/>
  <c r="F118" i="3" s="1"/>
  <c r="D114" i="3"/>
  <c r="F114" i="3" s="1"/>
  <c r="D109" i="3"/>
  <c r="F109" i="3" s="1"/>
  <c r="D108" i="3"/>
  <c r="F108" i="3" s="1"/>
  <c r="D107" i="3"/>
  <c r="F107" i="3" s="1"/>
  <c r="D106" i="3"/>
  <c r="F106" i="3" s="1"/>
  <c r="D105" i="3"/>
  <c r="F105" i="3" s="1"/>
  <c r="D104" i="3"/>
  <c r="F104" i="3" s="1"/>
  <c r="D100" i="3"/>
  <c r="F100" i="3" s="1"/>
  <c r="D95" i="3"/>
  <c r="F95" i="3" s="1"/>
  <c r="D90" i="3"/>
  <c r="F90" i="3" s="1"/>
  <c r="D89" i="3"/>
  <c r="F89" i="3" s="1"/>
  <c r="D87" i="3"/>
  <c r="F87" i="3" s="1"/>
  <c r="D80" i="3"/>
  <c r="F80" i="3" s="1"/>
  <c r="D79" i="3"/>
  <c r="F79" i="3" s="1"/>
  <c r="D78" i="3"/>
  <c r="F78" i="3" s="1"/>
  <c r="D77" i="3"/>
  <c r="F77" i="3" s="1"/>
  <c r="D76" i="3"/>
  <c r="F76" i="3" s="1"/>
  <c r="D75" i="3"/>
  <c r="F75" i="3" s="1"/>
  <c r="D74" i="3"/>
  <c r="F74" i="3" s="1"/>
  <c r="D70" i="3"/>
  <c r="F70" i="3" s="1"/>
  <c r="D69" i="3"/>
  <c r="F69" i="3" s="1"/>
  <c r="D68" i="3"/>
  <c r="F68" i="3" s="1"/>
  <c r="D67" i="3"/>
  <c r="F67" i="3" s="1"/>
  <c r="D66" i="3"/>
  <c r="F66" i="3" s="1"/>
  <c r="D63" i="3"/>
  <c r="F63" i="3" s="1"/>
  <c r="D60" i="3"/>
  <c r="F60" i="3" s="1"/>
  <c r="D59" i="3"/>
  <c r="F59" i="3" s="1"/>
  <c r="D55" i="3"/>
  <c r="F55" i="3" s="1"/>
  <c r="D54" i="3"/>
  <c r="F54" i="3" s="1"/>
  <c r="D53" i="3"/>
  <c r="F53" i="3" s="1"/>
  <c r="D49" i="3"/>
  <c r="F49" i="3" s="1"/>
  <c r="D48" i="3"/>
  <c r="F48" i="3" s="1"/>
  <c r="D46" i="3"/>
  <c r="F46" i="3" s="1"/>
  <c r="D43" i="3"/>
  <c r="F43" i="3" s="1"/>
  <c r="D40" i="3"/>
  <c r="F40" i="3" s="1"/>
  <c r="D39" i="3"/>
  <c r="F39" i="3" s="1"/>
  <c r="D38" i="3"/>
  <c r="F38" i="3" s="1"/>
  <c r="D37" i="3"/>
  <c r="F37" i="3" s="1"/>
  <c r="D36" i="3"/>
  <c r="F36" i="3" s="1"/>
  <c r="D35" i="3"/>
  <c r="F35" i="3" s="1"/>
  <c r="D29" i="3"/>
  <c r="F29" i="3" s="1"/>
  <c r="D28" i="3"/>
  <c r="F28" i="3" s="1"/>
  <c r="D27" i="3"/>
  <c r="F27" i="3" s="1"/>
  <c r="D20" i="3"/>
  <c r="F20" i="3" s="1"/>
  <c r="D19" i="3"/>
  <c r="F19" i="3" s="1"/>
  <c r="D18" i="3"/>
  <c r="F18" i="3" s="1"/>
  <c r="D17" i="3"/>
  <c r="F17" i="3" s="1"/>
  <c r="D16" i="3"/>
  <c r="D8" i="3"/>
  <c r="F8" i="3" s="1"/>
  <c r="D9" i="3"/>
  <c r="F9" i="3" s="1"/>
  <c r="D10" i="3"/>
  <c r="F10" i="3" s="1"/>
  <c r="D11" i="3"/>
  <c r="F11" i="3" s="1"/>
  <c r="D12" i="3"/>
  <c r="F12" i="3" s="1"/>
  <c r="E164" i="3"/>
  <c r="E155" i="3"/>
  <c r="E144" i="3"/>
  <c r="E156" i="3" s="1"/>
  <c r="E127" i="3"/>
  <c r="E126" i="3"/>
  <c r="E110" i="3"/>
  <c r="E81" i="3"/>
  <c r="E71" i="3"/>
  <c r="E61" i="3"/>
  <c r="E56" i="3"/>
  <c r="E50" i="3"/>
  <c r="E82" i="3" s="1"/>
  <c r="E47" i="3"/>
  <c r="E41" i="3"/>
  <c r="E21" i="3"/>
  <c r="E13" i="3"/>
  <c r="E22" i="3" s="1"/>
  <c r="F71" i="8" l="1"/>
  <c r="G71" i="8" s="1"/>
  <c r="F41" i="8"/>
  <c r="G41" i="8" s="1"/>
  <c r="X56" i="4"/>
  <c r="W81" i="4"/>
  <c r="P63" i="1"/>
  <c r="G63" i="11"/>
  <c r="H63" i="11" s="1"/>
  <c r="L63" i="8"/>
  <c r="M63" i="8" s="1"/>
  <c r="P38" i="1"/>
  <c r="G38" i="11"/>
  <c r="H38" i="11" s="1"/>
  <c r="L38" i="8"/>
  <c r="M38" i="8" s="1"/>
  <c r="P107" i="1"/>
  <c r="G107" i="11"/>
  <c r="H107" i="11" s="1"/>
  <c r="L107" i="8"/>
  <c r="M107" i="8" s="1"/>
  <c r="P20" i="1"/>
  <c r="G20" i="11"/>
  <c r="H20" i="11" s="1"/>
  <c r="L20" i="8"/>
  <c r="M20" i="8" s="1"/>
  <c r="P118" i="1"/>
  <c r="G118" i="11"/>
  <c r="H118" i="11" s="1"/>
  <c r="L118" i="8"/>
  <c r="M118" i="8" s="1"/>
  <c r="F21" i="8"/>
  <c r="G21" i="8" s="1"/>
  <c r="X41" i="4"/>
  <c r="S56" i="4"/>
  <c r="AB56" i="4"/>
  <c r="U56" i="4"/>
  <c r="S71" i="4"/>
  <c r="AB71" i="4"/>
  <c r="U71" i="4"/>
  <c r="Y110" i="4"/>
  <c r="AD110" i="4"/>
  <c r="Z144" i="4"/>
  <c r="Y144" i="4"/>
  <c r="J156" i="4"/>
  <c r="AA155" i="4"/>
  <c r="M16" i="8"/>
  <c r="P114" i="1"/>
  <c r="G114" i="11"/>
  <c r="H114" i="11" s="1"/>
  <c r="L114" i="8"/>
  <c r="M114" i="8" s="1"/>
  <c r="P130" i="1"/>
  <c r="G130" i="11"/>
  <c r="H130" i="11" s="1"/>
  <c r="L130" i="8"/>
  <c r="M130" i="8" s="1"/>
  <c r="P18" i="1"/>
  <c r="G18" i="11"/>
  <c r="H18" i="11" s="1"/>
  <c r="L18" i="8"/>
  <c r="M18" i="8" s="1"/>
  <c r="P70" i="1"/>
  <c r="G70" i="11"/>
  <c r="H70" i="11" s="1"/>
  <c r="L70" i="8"/>
  <c r="M70" i="8" s="1"/>
  <c r="P137" i="1"/>
  <c r="G137" i="11"/>
  <c r="H137" i="11" s="1"/>
  <c r="L137" i="8"/>
  <c r="M137" i="8" s="1"/>
  <c r="P152" i="1"/>
  <c r="G152" i="11"/>
  <c r="H152" i="11" s="1"/>
  <c r="L152" i="8"/>
  <c r="M152" i="8" s="1"/>
  <c r="P76" i="1"/>
  <c r="G76" i="11"/>
  <c r="H76" i="11" s="1"/>
  <c r="L76" i="8"/>
  <c r="M76" i="8" s="1"/>
  <c r="X155" i="4"/>
  <c r="X156" i="4" s="1"/>
  <c r="P90" i="1"/>
  <c r="G90" i="11"/>
  <c r="H90" i="11" s="1"/>
  <c r="L90" i="8"/>
  <c r="M90" i="8" s="1"/>
  <c r="P89" i="1"/>
  <c r="G89" i="11"/>
  <c r="H89" i="11" s="1"/>
  <c r="L89" i="8"/>
  <c r="M89" i="8" s="1"/>
  <c r="P125" i="1"/>
  <c r="G125" i="11"/>
  <c r="H125" i="11" s="1"/>
  <c r="L125" i="8"/>
  <c r="M125" i="8" s="1"/>
  <c r="H16" i="11"/>
  <c r="P149" i="1"/>
  <c r="G149" i="11"/>
  <c r="H149" i="11" s="1"/>
  <c r="L149" i="8"/>
  <c r="M149" i="8" s="1"/>
  <c r="P124" i="1"/>
  <c r="G124" i="11"/>
  <c r="H124" i="11" s="1"/>
  <c r="L124" i="8"/>
  <c r="M124" i="8" s="1"/>
  <c r="P95" i="1"/>
  <c r="G95" i="11"/>
  <c r="H95" i="11" s="1"/>
  <c r="L95" i="8"/>
  <c r="M95" i="8" s="1"/>
  <c r="AA41" i="4"/>
  <c r="Z41" i="4"/>
  <c r="AC41" i="4"/>
  <c r="AD61" i="4"/>
  <c r="U61" i="4"/>
  <c r="U81" i="4"/>
  <c r="AD81" i="4"/>
  <c r="AD144" i="4"/>
  <c r="Z155" i="4"/>
  <c r="AB155" i="4"/>
  <c r="P36" i="1"/>
  <c r="G36" i="11"/>
  <c r="H36" i="11" s="1"/>
  <c r="L36" i="8"/>
  <c r="M36" i="8" s="1"/>
  <c r="P19" i="1"/>
  <c r="G19" i="11"/>
  <c r="H19" i="11" s="1"/>
  <c r="L19" i="8"/>
  <c r="M19" i="8" s="1"/>
  <c r="P49" i="1"/>
  <c r="G49" i="11"/>
  <c r="H49" i="11" s="1"/>
  <c r="L49" i="8"/>
  <c r="M49" i="8" s="1"/>
  <c r="P108" i="1"/>
  <c r="G108" i="11"/>
  <c r="H108" i="11" s="1"/>
  <c r="L108" i="8"/>
  <c r="M108" i="8" s="1"/>
  <c r="P55" i="1"/>
  <c r="G55" i="11"/>
  <c r="H55" i="11" s="1"/>
  <c r="L55" i="8"/>
  <c r="M55" i="8" s="1"/>
  <c r="P59" i="1"/>
  <c r="G59" i="11"/>
  <c r="H59" i="11" s="1"/>
  <c r="L59" i="8"/>
  <c r="M59" i="8" s="1"/>
  <c r="P17" i="1"/>
  <c r="G17" i="11"/>
  <c r="H17" i="11" s="1"/>
  <c r="L17" i="8"/>
  <c r="M17" i="8" s="1"/>
  <c r="P106" i="1"/>
  <c r="G106" i="11"/>
  <c r="H106" i="11" s="1"/>
  <c r="L106" i="8"/>
  <c r="M106" i="8" s="1"/>
  <c r="P141" i="1"/>
  <c r="G141" i="11"/>
  <c r="H141" i="11" s="1"/>
  <c r="L141" i="8"/>
  <c r="M141" i="8" s="1"/>
  <c r="M16" i="12"/>
  <c r="Z156" i="4"/>
  <c r="F155" i="8"/>
  <c r="G155" i="8" s="1"/>
  <c r="P163" i="1"/>
  <c r="G163" i="11"/>
  <c r="L163" i="8"/>
  <c r="T164" i="4"/>
  <c r="P154" i="1"/>
  <c r="G154" i="11"/>
  <c r="H154" i="11" s="1"/>
  <c r="L154" i="8"/>
  <c r="M154" i="8" s="1"/>
  <c r="W155" i="4"/>
  <c r="Y155" i="4"/>
  <c r="Q156" i="4"/>
  <c r="AC155" i="4"/>
  <c r="P153" i="1"/>
  <c r="G153" i="11"/>
  <c r="H153" i="11" s="1"/>
  <c r="L153" i="8"/>
  <c r="M153" i="8" s="1"/>
  <c r="F156" i="4"/>
  <c r="Y156" i="4"/>
  <c r="P151" i="1"/>
  <c r="G151" i="11"/>
  <c r="H151" i="11" s="1"/>
  <c r="L151" i="8"/>
  <c r="M151" i="8" s="1"/>
  <c r="AD155" i="4"/>
  <c r="S155" i="4"/>
  <c r="S156" i="4" s="1"/>
  <c r="U156" i="4"/>
  <c r="P150" i="1"/>
  <c r="G150" i="11"/>
  <c r="H150" i="11" s="1"/>
  <c r="L150" i="8"/>
  <c r="M150" i="8" s="1"/>
  <c r="T155" i="4"/>
  <c r="H147" i="11"/>
  <c r="M147" i="8"/>
  <c r="F144" i="8"/>
  <c r="P142" i="1"/>
  <c r="G142" i="11"/>
  <c r="H142" i="11" s="1"/>
  <c r="L142" i="8"/>
  <c r="M142" i="8" s="1"/>
  <c r="AC144" i="4"/>
  <c r="F61" i="8"/>
  <c r="G61" i="8" s="1"/>
  <c r="AB144" i="4"/>
  <c r="AB156" i="4" s="1"/>
  <c r="AA144" i="4"/>
  <c r="P139" i="1"/>
  <c r="G139" i="11"/>
  <c r="H139" i="11" s="1"/>
  <c r="L139" i="8"/>
  <c r="M139" i="8" s="1"/>
  <c r="W144" i="4"/>
  <c r="V144" i="4"/>
  <c r="V156" i="4" s="1"/>
  <c r="P138" i="1"/>
  <c r="G138" i="11"/>
  <c r="L138" i="8"/>
  <c r="T144" i="4"/>
  <c r="N156" i="4"/>
  <c r="P128" i="1"/>
  <c r="G128" i="11"/>
  <c r="H128" i="11" s="1"/>
  <c r="L128" i="8"/>
  <c r="M128" i="8" s="1"/>
  <c r="F127" i="8"/>
  <c r="G127" i="8" s="1"/>
  <c r="AC127" i="4"/>
  <c r="Y127" i="4"/>
  <c r="U127" i="4"/>
  <c r="W127" i="4"/>
  <c r="AD127" i="4"/>
  <c r="AB127" i="4"/>
  <c r="X127" i="4"/>
  <c r="T127" i="4"/>
  <c r="AA127" i="4"/>
  <c r="S127" i="4"/>
  <c r="Z127" i="4"/>
  <c r="V127" i="4"/>
  <c r="F126" i="8"/>
  <c r="G126" i="8" s="1"/>
  <c r="AD126" i="4"/>
  <c r="Z126" i="4"/>
  <c r="V126" i="4"/>
  <c r="X126" i="4"/>
  <c r="T126" i="4"/>
  <c r="AA126" i="4"/>
  <c r="S126" i="4"/>
  <c r="AC126" i="4"/>
  <c r="Y126" i="4"/>
  <c r="U126" i="4"/>
  <c r="AB126" i="4"/>
  <c r="W126" i="4"/>
  <c r="P122" i="1"/>
  <c r="G122" i="11"/>
  <c r="H122" i="11" s="1"/>
  <c r="L122" i="8"/>
  <c r="M122" i="8" s="1"/>
  <c r="P109" i="1"/>
  <c r="G109" i="11"/>
  <c r="H109" i="11" s="1"/>
  <c r="L109" i="8"/>
  <c r="M109" i="8" s="1"/>
  <c r="AA110" i="4"/>
  <c r="P105" i="1"/>
  <c r="G105" i="11"/>
  <c r="H105" i="11" s="1"/>
  <c r="L105" i="8"/>
  <c r="M105" i="8" s="1"/>
  <c r="Z110" i="4"/>
  <c r="U110" i="4"/>
  <c r="F110" i="8"/>
  <c r="G110" i="8" s="1"/>
  <c r="S110" i="4"/>
  <c r="AC110" i="4"/>
  <c r="X110" i="4"/>
  <c r="P104" i="1"/>
  <c r="G104" i="11"/>
  <c r="L104" i="8"/>
  <c r="T110" i="4"/>
  <c r="P88" i="1"/>
  <c r="G88" i="11"/>
  <c r="H88" i="11" s="1"/>
  <c r="L88" i="8"/>
  <c r="M88" i="8" s="1"/>
  <c r="P87" i="1"/>
  <c r="G87" i="11"/>
  <c r="H87" i="11" s="1"/>
  <c r="L87" i="8"/>
  <c r="M87" i="8" s="1"/>
  <c r="P40" i="1"/>
  <c r="G40" i="11"/>
  <c r="H40" i="11" s="1"/>
  <c r="L40" i="8"/>
  <c r="M40" i="8" s="1"/>
  <c r="AD41" i="4"/>
  <c r="U41" i="4"/>
  <c r="P80" i="1"/>
  <c r="G80" i="11"/>
  <c r="H80" i="11" s="1"/>
  <c r="L80" i="8"/>
  <c r="M80" i="8" s="1"/>
  <c r="Q82" i="4"/>
  <c r="J82" i="4"/>
  <c r="S81" i="4"/>
  <c r="P79" i="1"/>
  <c r="G79" i="11"/>
  <c r="H79" i="11" s="1"/>
  <c r="L79" i="8"/>
  <c r="M79" i="8" s="1"/>
  <c r="AA81" i="4"/>
  <c r="Z81" i="4"/>
  <c r="F81" i="8"/>
  <c r="G81" i="8" s="1"/>
  <c r="P78" i="1"/>
  <c r="G78" i="11"/>
  <c r="H78" i="11" s="1"/>
  <c r="L78" i="8"/>
  <c r="M78" i="8" s="1"/>
  <c r="O82" i="4"/>
  <c r="V81" i="4"/>
  <c r="AB81" i="4"/>
  <c r="X81" i="4"/>
  <c r="Y81" i="4"/>
  <c r="P75" i="1"/>
  <c r="G75" i="11"/>
  <c r="H75" i="11" s="1"/>
  <c r="L75" i="8"/>
  <c r="M75" i="8" s="1"/>
  <c r="N82" i="4"/>
  <c r="T81" i="4"/>
  <c r="P74" i="1"/>
  <c r="G74" i="11"/>
  <c r="L74" i="8"/>
  <c r="G69" i="8"/>
  <c r="P69" i="1"/>
  <c r="G69" i="11"/>
  <c r="T71" i="4"/>
  <c r="L69" i="8"/>
  <c r="F56" i="8"/>
  <c r="G56" i="8" s="1"/>
  <c r="P60" i="1"/>
  <c r="G60" i="11"/>
  <c r="L60" i="8"/>
  <c r="T61" i="4"/>
  <c r="P54" i="1"/>
  <c r="G54" i="11"/>
  <c r="H54" i="11" s="1"/>
  <c r="L54" i="8"/>
  <c r="M54" i="8" s="1"/>
  <c r="L82" i="4"/>
  <c r="G53" i="8"/>
  <c r="AA56" i="4"/>
  <c r="Y56" i="4"/>
  <c r="AD56" i="4"/>
  <c r="AC56" i="4"/>
  <c r="M82" i="4"/>
  <c r="H82" i="4"/>
  <c r="P53" i="1"/>
  <c r="G53" i="11"/>
  <c r="L53" i="8"/>
  <c r="T56" i="4"/>
  <c r="P48" i="1"/>
  <c r="G48" i="11"/>
  <c r="H48" i="11" s="1"/>
  <c r="L48" i="8"/>
  <c r="M48" i="8" s="1"/>
  <c r="U50" i="4"/>
  <c r="G82" i="4"/>
  <c r="AA47" i="4"/>
  <c r="AA50" i="4" s="1"/>
  <c r="W47" i="4"/>
  <c r="W50" i="4" s="1"/>
  <c r="W82" i="4" s="1"/>
  <c r="S47" i="4"/>
  <c r="S50" i="4" s="1"/>
  <c r="AC47" i="4"/>
  <c r="AC50" i="4" s="1"/>
  <c r="U47" i="4"/>
  <c r="AB47" i="4"/>
  <c r="AB50" i="4" s="1"/>
  <c r="T47" i="4"/>
  <c r="AD47" i="4"/>
  <c r="AD50" i="4" s="1"/>
  <c r="Z47" i="4"/>
  <c r="Z50" i="4" s="1"/>
  <c r="Z82" i="4" s="1"/>
  <c r="V47" i="4"/>
  <c r="V50" i="4" s="1"/>
  <c r="Y47" i="4"/>
  <c r="Y50" i="4" s="1"/>
  <c r="X47" i="4"/>
  <c r="X50" i="4"/>
  <c r="R82" i="4"/>
  <c r="M50" i="11"/>
  <c r="G35" i="8"/>
  <c r="P82" i="4"/>
  <c r="T50" i="4"/>
  <c r="P46" i="1"/>
  <c r="G46" i="11"/>
  <c r="L46" i="8"/>
  <c r="K82" i="4"/>
  <c r="P43" i="1"/>
  <c r="G43" i="11"/>
  <c r="H43" i="11" s="1"/>
  <c r="L43" i="8"/>
  <c r="M43" i="8" s="1"/>
  <c r="P35" i="1"/>
  <c r="G35" i="11"/>
  <c r="T41" i="4"/>
  <c r="L35" i="8"/>
  <c r="F71" i="3"/>
  <c r="F61" i="3"/>
  <c r="L99" i="11"/>
  <c r="L101" i="11" s="1"/>
  <c r="L94" i="11"/>
  <c r="L96" i="11" s="1"/>
  <c r="F113" i="4"/>
  <c r="L113" i="11"/>
  <c r="M123" i="11"/>
  <c r="L132" i="11"/>
  <c r="J19" i="12"/>
  <c r="F20" i="12"/>
  <c r="F50" i="4"/>
  <c r="F82" i="4" s="1"/>
  <c r="F47" i="8"/>
  <c r="G163" i="8"/>
  <c r="F164" i="8"/>
  <c r="G164" i="8" s="1"/>
  <c r="F115" i="4"/>
  <c r="H115" i="4"/>
  <c r="L115" i="4"/>
  <c r="P115" i="4"/>
  <c r="I115" i="4"/>
  <c r="M115" i="4"/>
  <c r="Q115" i="4"/>
  <c r="J115" i="4"/>
  <c r="N115" i="4"/>
  <c r="G115" i="4"/>
  <c r="K115" i="4"/>
  <c r="O115" i="4"/>
  <c r="F99" i="4"/>
  <c r="H99" i="4"/>
  <c r="H101" i="4" s="1"/>
  <c r="L99" i="4"/>
  <c r="L101" i="4" s="1"/>
  <c r="P99" i="4"/>
  <c r="P101" i="4" s="1"/>
  <c r="I99" i="4"/>
  <c r="I101" i="4" s="1"/>
  <c r="M99" i="4"/>
  <c r="M101" i="4" s="1"/>
  <c r="Q99" i="4"/>
  <c r="Q101" i="4" s="1"/>
  <c r="J99" i="4"/>
  <c r="J101" i="4" s="1"/>
  <c r="N99" i="4"/>
  <c r="N101" i="4" s="1"/>
  <c r="K99" i="4"/>
  <c r="K101" i="4" s="1"/>
  <c r="O99" i="4"/>
  <c r="O101" i="4" s="1"/>
  <c r="G99" i="4"/>
  <c r="G101" i="4" s="1"/>
  <c r="I94" i="4"/>
  <c r="I96" i="4" s="1"/>
  <c r="M94" i="4"/>
  <c r="M96" i="4" s="1"/>
  <c r="Q94" i="4"/>
  <c r="Q96" i="4" s="1"/>
  <c r="J94" i="4"/>
  <c r="J96" i="4" s="1"/>
  <c r="N94" i="4"/>
  <c r="N96" i="4" s="1"/>
  <c r="G94" i="4"/>
  <c r="G96" i="4" s="1"/>
  <c r="K94" i="4"/>
  <c r="K96" i="4" s="1"/>
  <c r="O94" i="4"/>
  <c r="O96" i="4" s="1"/>
  <c r="H94" i="4"/>
  <c r="H96" i="4" s="1"/>
  <c r="L94" i="4"/>
  <c r="L96" i="4" s="1"/>
  <c r="P94" i="4"/>
  <c r="P96" i="4" s="1"/>
  <c r="J113" i="4"/>
  <c r="N113" i="4"/>
  <c r="G113" i="4"/>
  <c r="K113" i="4"/>
  <c r="O113" i="4"/>
  <c r="H113" i="4"/>
  <c r="L113" i="4"/>
  <c r="P113" i="4"/>
  <c r="Q113" i="4"/>
  <c r="I113" i="4"/>
  <c r="M113" i="4"/>
  <c r="G123" i="4"/>
  <c r="G132" i="4" s="1"/>
  <c r="K123" i="4"/>
  <c r="K132" i="4" s="1"/>
  <c r="O123" i="4"/>
  <c r="O132" i="4" s="1"/>
  <c r="H123" i="4"/>
  <c r="H132" i="4" s="1"/>
  <c r="L123" i="4"/>
  <c r="L132" i="4" s="1"/>
  <c r="P123" i="4"/>
  <c r="P132" i="4" s="1"/>
  <c r="I123" i="4"/>
  <c r="I132" i="4" s="1"/>
  <c r="M123" i="4"/>
  <c r="M132" i="4" s="1"/>
  <c r="Q123" i="4"/>
  <c r="Q132" i="4" s="1"/>
  <c r="J123" i="4"/>
  <c r="J132" i="4" s="1"/>
  <c r="N123" i="4"/>
  <c r="N132" i="4" s="1"/>
  <c r="R132" i="4"/>
  <c r="F123" i="4"/>
  <c r="R96" i="4"/>
  <c r="F94" i="4"/>
  <c r="E133" i="5"/>
  <c r="E166" i="5" s="1"/>
  <c r="E167" i="5" s="1"/>
  <c r="G133" i="5"/>
  <c r="G166" i="5" s="1"/>
  <c r="G167" i="5" s="1"/>
  <c r="R101" i="4"/>
  <c r="R26" i="4"/>
  <c r="R30" i="4" s="1"/>
  <c r="R31" i="4" s="1"/>
  <c r="D21" i="3"/>
  <c r="F16" i="3"/>
  <c r="F21" i="3" s="1"/>
  <c r="F56" i="3"/>
  <c r="F155" i="3"/>
  <c r="F164" i="3"/>
  <c r="F41" i="3"/>
  <c r="F144" i="3"/>
  <c r="F81" i="3"/>
  <c r="F110" i="3"/>
  <c r="E26" i="3"/>
  <c r="E30" i="3" s="1"/>
  <c r="E31" i="3" s="1"/>
  <c r="F22" i="8" l="1"/>
  <c r="G22" i="8" s="1"/>
  <c r="S82" i="4"/>
  <c r="AA156" i="4"/>
  <c r="AD156" i="4"/>
  <c r="L21" i="8"/>
  <c r="AC82" i="4"/>
  <c r="G21" i="11"/>
  <c r="F156" i="8"/>
  <c r="G156" i="8" s="1"/>
  <c r="L164" i="8"/>
  <c r="M164" i="8" s="1"/>
  <c r="M163" i="8"/>
  <c r="G164" i="11"/>
  <c r="H164" i="11" s="1"/>
  <c r="H163" i="11"/>
  <c r="AC156" i="4"/>
  <c r="W156" i="4"/>
  <c r="L155" i="8"/>
  <c r="M155" i="8" s="1"/>
  <c r="T156" i="4"/>
  <c r="G155" i="11"/>
  <c r="H155" i="11" s="1"/>
  <c r="G144" i="8"/>
  <c r="L144" i="8"/>
  <c r="M138" i="8"/>
  <c r="G144" i="11"/>
  <c r="H138" i="11"/>
  <c r="P127" i="1"/>
  <c r="G127" i="11"/>
  <c r="H127" i="11" s="1"/>
  <c r="L127" i="8"/>
  <c r="M127" i="8" s="1"/>
  <c r="P126" i="1"/>
  <c r="G126" i="11"/>
  <c r="H126" i="11" s="1"/>
  <c r="L126" i="8"/>
  <c r="M126" i="8" s="1"/>
  <c r="G110" i="11"/>
  <c r="H110" i="11" s="1"/>
  <c r="H104" i="11"/>
  <c r="L110" i="8"/>
  <c r="M110" i="8" s="1"/>
  <c r="M104" i="8"/>
  <c r="M82" i="11"/>
  <c r="U82" i="4"/>
  <c r="AA82" i="4"/>
  <c r="V82" i="4"/>
  <c r="Y82" i="4"/>
  <c r="X82" i="4"/>
  <c r="AB82" i="4"/>
  <c r="G81" i="11"/>
  <c r="H81" i="11" s="1"/>
  <c r="H74" i="11"/>
  <c r="L81" i="8"/>
  <c r="M81" i="8" s="1"/>
  <c r="M74" i="8"/>
  <c r="G71" i="11"/>
  <c r="H71" i="11" s="1"/>
  <c r="H69" i="11"/>
  <c r="L71" i="8"/>
  <c r="M71" i="8" s="1"/>
  <c r="M69" i="8"/>
  <c r="L61" i="8"/>
  <c r="M61" i="8" s="1"/>
  <c r="M60" i="8"/>
  <c r="G61" i="11"/>
  <c r="H61" i="11" s="1"/>
  <c r="H60" i="11"/>
  <c r="AD82" i="4"/>
  <c r="G56" i="11"/>
  <c r="H56" i="11" s="1"/>
  <c r="H53" i="11"/>
  <c r="L56" i="8"/>
  <c r="M56" i="8" s="1"/>
  <c r="M53" i="8"/>
  <c r="P47" i="1"/>
  <c r="G47" i="11"/>
  <c r="H47" i="11" s="1"/>
  <c r="L47" i="8"/>
  <c r="M47" i="8" s="1"/>
  <c r="T82" i="4"/>
  <c r="M46" i="8"/>
  <c r="H46" i="11"/>
  <c r="L41" i="8"/>
  <c r="M35" i="8"/>
  <c r="G41" i="11"/>
  <c r="H35" i="11"/>
  <c r="Q31" i="4"/>
  <c r="AD31" i="4" s="1"/>
  <c r="L31" i="11"/>
  <c r="M31" i="11" s="1"/>
  <c r="M96" i="11"/>
  <c r="M94" i="11"/>
  <c r="M99" i="11"/>
  <c r="AD94" i="4"/>
  <c r="AD96" i="4" s="1"/>
  <c r="Z94" i="4"/>
  <c r="Z96" i="4" s="1"/>
  <c r="V94" i="4"/>
  <c r="V96" i="4" s="1"/>
  <c r="AC94" i="4"/>
  <c r="AC96" i="4" s="1"/>
  <c r="Y94" i="4"/>
  <c r="Y96" i="4" s="1"/>
  <c r="U94" i="4"/>
  <c r="U96" i="4" s="1"/>
  <c r="AB94" i="4"/>
  <c r="X94" i="4"/>
  <c r="X96" i="4" s="1"/>
  <c r="T94" i="4"/>
  <c r="T96" i="4" s="1"/>
  <c r="AA94" i="4"/>
  <c r="AA96" i="4" s="1"/>
  <c r="W94" i="4"/>
  <c r="W96" i="4" s="1"/>
  <c r="S94" i="4"/>
  <c r="S96" i="4" s="1"/>
  <c r="M113" i="11"/>
  <c r="AC99" i="4"/>
  <c r="AC101" i="4" s="1"/>
  <c r="Y99" i="4"/>
  <c r="Y101" i="4" s="1"/>
  <c r="U99" i="4"/>
  <c r="U101" i="4" s="1"/>
  <c r="AB99" i="4"/>
  <c r="X99" i="4"/>
  <c r="X101" i="4" s="1"/>
  <c r="T99" i="4"/>
  <c r="T101" i="4" s="1"/>
  <c r="AA99" i="4"/>
  <c r="AA101" i="4" s="1"/>
  <c r="W99" i="4"/>
  <c r="W101" i="4" s="1"/>
  <c r="S99" i="4"/>
  <c r="S101" i="4" s="1"/>
  <c r="AD99" i="4"/>
  <c r="AD101" i="4" s="1"/>
  <c r="Z99" i="4"/>
  <c r="Z101" i="4" s="1"/>
  <c r="V99" i="4"/>
  <c r="V101" i="4" s="1"/>
  <c r="F115" i="8"/>
  <c r="G115" i="8" s="1"/>
  <c r="AA115" i="4"/>
  <c r="W115" i="4"/>
  <c r="S115" i="4"/>
  <c r="AD115" i="4"/>
  <c r="Z115" i="4"/>
  <c r="V115" i="4"/>
  <c r="AC115" i="4"/>
  <c r="Y115" i="4"/>
  <c r="U115" i="4"/>
  <c r="AB115" i="4"/>
  <c r="X115" i="4"/>
  <c r="T115" i="4"/>
  <c r="AD123" i="4"/>
  <c r="AD132" i="4" s="1"/>
  <c r="Z123" i="4"/>
  <c r="Z132" i="4" s="1"/>
  <c r="V123" i="4"/>
  <c r="V132" i="4" s="1"/>
  <c r="AC123" i="4"/>
  <c r="AC132" i="4" s="1"/>
  <c r="Y123" i="4"/>
  <c r="Y132" i="4" s="1"/>
  <c r="U123" i="4"/>
  <c r="U132" i="4" s="1"/>
  <c r="AB123" i="4"/>
  <c r="X123" i="4"/>
  <c r="X132" i="4" s="1"/>
  <c r="T123" i="4"/>
  <c r="T132" i="4" s="1"/>
  <c r="AA123" i="4"/>
  <c r="AA132" i="4" s="1"/>
  <c r="W123" i="4"/>
  <c r="W132" i="4" s="1"/>
  <c r="S123" i="4"/>
  <c r="S132" i="4" s="1"/>
  <c r="M132" i="11"/>
  <c r="F113" i="8"/>
  <c r="G113" i="8" s="1"/>
  <c r="AA113" i="4"/>
  <c r="W113" i="4"/>
  <c r="S113" i="4"/>
  <c r="AD113" i="4"/>
  <c r="Z113" i="4"/>
  <c r="V113" i="4"/>
  <c r="AC113" i="4"/>
  <c r="Y113" i="4"/>
  <c r="U113" i="4"/>
  <c r="AB113" i="4"/>
  <c r="X113" i="4"/>
  <c r="T113" i="4"/>
  <c r="M101" i="11"/>
  <c r="J20" i="12"/>
  <c r="F96" i="4"/>
  <c r="F94" i="8"/>
  <c r="G47" i="8"/>
  <c r="F50" i="8"/>
  <c r="F132" i="4"/>
  <c r="F123" i="8"/>
  <c r="F101" i="4"/>
  <c r="F99" i="8"/>
  <c r="F156" i="3"/>
  <c r="D164" i="3"/>
  <c r="G164" i="3" s="1"/>
  <c r="G163" i="3"/>
  <c r="G162" i="3"/>
  <c r="G161" i="3"/>
  <c r="G160" i="3"/>
  <c r="D155" i="3"/>
  <c r="G155" i="3" s="1"/>
  <c r="G154" i="3"/>
  <c r="G153" i="3"/>
  <c r="G152" i="3"/>
  <c r="G151" i="3"/>
  <c r="G150" i="3"/>
  <c r="G149" i="3"/>
  <c r="G148" i="3"/>
  <c r="G147" i="3"/>
  <c r="D144" i="3"/>
  <c r="G143" i="3"/>
  <c r="G142" i="3"/>
  <c r="G141" i="3"/>
  <c r="G140" i="3"/>
  <c r="G139" i="3"/>
  <c r="G138" i="3"/>
  <c r="G137" i="3"/>
  <c r="G131" i="3"/>
  <c r="G130" i="3"/>
  <c r="G129" i="3"/>
  <c r="G128" i="3"/>
  <c r="G125" i="3"/>
  <c r="G124" i="3"/>
  <c r="G118" i="3"/>
  <c r="G114" i="3"/>
  <c r="D110" i="3"/>
  <c r="G110" i="3" s="1"/>
  <c r="G109" i="3"/>
  <c r="G108" i="3"/>
  <c r="G107" i="3"/>
  <c r="G106" i="3"/>
  <c r="G105" i="3"/>
  <c r="G104" i="3"/>
  <c r="G100" i="3"/>
  <c r="G95" i="3"/>
  <c r="G90" i="3"/>
  <c r="G89" i="3"/>
  <c r="G87" i="3"/>
  <c r="D81" i="3"/>
  <c r="G80" i="3"/>
  <c r="G79" i="3"/>
  <c r="G78" i="3"/>
  <c r="G77" i="3"/>
  <c r="G76" i="3"/>
  <c r="G75" i="3"/>
  <c r="G74" i="3"/>
  <c r="D71" i="3"/>
  <c r="G70" i="3"/>
  <c r="G69" i="3"/>
  <c r="G68" i="3"/>
  <c r="G67" i="3"/>
  <c r="G66" i="3"/>
  <c r="G63" i="3"/>
  <c r="D61" i="3"/>
  <c r="G61" i="3" s="1"/>
  <c r="G60" i="3"/>
  <c r="G59" i="3"/>
  <c r="D56" i="3"/>
  <c r="G56" i="3" s="1"/>
  <c r="G55" i="3"/>
  <c r="G54" i="3"/>
  <c r="G53" i="3"/>
  <c r="G49" i="3"/>
  <c r="G48" i="3"/>
  <c r="G46" i="3"/>
  <c r="G43" i="3"/>
  <c r="D41" i="3"/>
  <c r="G41" i="3" s="1"/>
  <c r="G40" i="3"/>
  <c r="G39" i="3"/>
  <c r="G38" i="3"/>
  <c r="G37" i="3"/>
  <c r="G36" i="3"/>
  <c r="G35" i="3"/>
  <c r="G21" i="3"/>
  <c r="G20" i="3"/>
  <c r="G19" i="3"/>
  <c r="G18" i="3"/>
  <c r="G17" i="3"/>
  <c r="G16" i="3"/>
  <c r="G12" i="3"/>
  <c r="G11" i="3"/>
  <c r="G10" i="3"/>
  <c r="G9" i="3"/>
  <c r="G8" i="3"/>
  <c r="M21" i="8" l="1"/>
  <c r="L22" i="8"/>
  <c r="M22" i="8" s="1"/>
  <c r="P123" i="1"/>
  <c r="P99" i="1"/>
  <c r="G15" i="12"/>
  <c r="H21" i="11"/>
  <c r="G22" i="11"/>
  <c r="H22" i="11" s="1"/>
  <c r="G156" i="11"/>
  <c r="H156" i="11" s="1"/>
  <c r="H144" i="11"/>
  <c r="L156" i="8"/>
  <c r="M156" i="8" s="1"/>
  <c r="M144" i="8"/>
  <c r="P94" i="1"/>
  <c r="G50" i="11"/>
  <c r="H50" i="11" s="1"/>
  <c r="L50" i="8"/>
  <c r="M50" i="8" s="1"/>
  <c r="H41" i="11"/>
  <c r="M41" i="8"/>
  <c r="P115" i="1"/>
  <c r="P113" i="1"/>
  <c r="G94" i="11"/>
  <c r="AB96" i="4"/>
  <c r="L94" i="8"/>
  <c r="G123" i="11"/>
  <c r="L123" i="8"/>
  <c r="AB132" i="4"/>
  <c r="AB101" i="4"/>
  <c r="G99" i="11"/>
  <c r="L99" i="8"/>
  <c r="G113" i="11"/>
  <c r="L113" i="8"/>
  <c r="G115" i="11"/>
  <c r="H115" i="11" s="1"/>
  <c r="L115" i="8"/>
  <c r="M115" i="8" s="1"/>
  <c r="G123" i="8"/>
  <c r="F132" i="8"/>
  <c r="G132" i="8" s="1"/>
  <c r="G50" i="8"/>
  <c r="F82" i="8"/>
  <c r="F101" i="8"/>
  <c r="G101" i="8" s="1"/>
  <c r="G99" i="8"/>
  <c r="F96" i="8"/>
  <c r="G96" i="8" s="1"/>
  <c r="G94" i="8"/>
  <c r="D156" i="3"/>
  <c r="G156" i="3" s="1"/>
  <c r="G144" i="3"/>
  <c r="G81" i="3"/>
  <c r="G71" i="3"/>
  <c r="H15" i="12" l="1"/>
  <c r="G16" i="12"/>
  <c r="H16" i="12" s="1"/>
  <c r="G82" i="11"/>
  <c r="H82" i="11" s="1"/>
  <c r="L82" i="8"/>
  <c r="M82" i="8" s="1"/>
  <c r="D7" i="3"/>
  <c r="G7" i="3" s="1"/>
  <c r="R7" i="14"/>
  <c r="R13" i="14" s="1"/>
  <c r="R22" i="14" s="1"/>
  <c r="R26" i="14" s="1"/>
  <c r="R30" i="14" s="1"/>
  <c r="R31" i="14" s="1"/>
  <c r="Q31" i="14" s="1"/>
  <c r="AD31" i="14" s="1"/>
  <c r="H113" i="11"/>
  <c r="G101" i="11"/>
  <c r="H101" i="11" s="1"/>
  <c r="H99" i="11"/>
  <c r="L132" i="8"/>
  <c r="M132" i="8" s="1"/>
  <c r="M123" i="8"/>
  <c r="M94" i="8"/>
  <c r="L96" i="8"/>
  <c r="M96" i="8" s="1"/>
  <c r="G132" i="11"/>
  <c r="H132" i="11" s="1"/>
  <c r="H123" i="11"/>
  <c r="G96" i="11"/>
  <c r="H96" i="11" s="1"/>
  <c r="H94" i="11"/>
  <c r="M113" i="8"/>
  <c r="L101" i="8"/>
  <c r="M101" i="8" s="1"/>
  <c r="M99" i="8"/>
  <c r="G82" i="8"/>
  <c r="D13" i="3" l="1"/>
  <c r="D22" i="3" s="1"/>
  <c r="G22" i="3" s="1"/>
  <c r="F7" i="3"/>
  <c r="F13" i="3" s="1"/>
  <c r="F22" i="3" s="1"/>
  <c r="D123" i="3"/>
  <c r="F123" i="3" s="1"/>
  <c r="T130" i="1"/>
  <c r="T132" i="1" s="1"/>
  <c r="G13" i="3" l="1"/>
  <c r="D99" i="3"/>
  <c r="F99" i="3" s="1"/>
  <c r="F101" i="3" s="1"/>
  <c r="R99" i="14"/>
  <c r="D115" i="3"/>
  <c r="F115" i="3" s="1"/>
  <c r="R115" i="14"/>
  <c r="D94" i="3"/>
  <c r="F94" i="3" s="1"/>
  <c r="F96" i="3" s="1"/>
  <c r="R94" i="14"/>
  <c r="D113" i="3"/>
  <c r="F113" i="3" s="1"/>
  <c r="R113" i="14"/>
  <c r="D126" i="3"/>
  <c r="O99" i="14" l="1"/>
  <c r="O101" i="14" s="1"/>
  <c r="G99" i="14"/>
  <c r="G101" i="14" s="1"/>
  <c r="L99" i="14"/>
  <c r="L101" i="14" s="1"/>
  <c r="K99" i="14"/>
  <c r="K101" i="14" s="1"/>
  <c r="Q99" i="14"/>
  <c r="Q101" i="14" s="1"/>
  <c r="I99" i="14"/>
  <c r="I101" i="14" s="1"/>
  <c r="P99" i="14"/>
  <c r="P101" i="14" s="1"/>
  <c r="H99" i="14"/>
  <c r="H101" i="14" s="1"/>
  <c r="M99" i="14"/>
  <c r="M101" i="14" s="1"/>
  <c r="R101" i="14"/>
  <c r="N99" i="14"/>
  <c r="N101" i="14" s="1"/>
  <c r="J99" i="14"/>
  <c r="J101" i="14" s="1"/>
  <c r="F99" i="14"/>
  <c r="I113" i="14"/>
  <c r="P113" i="14"/>
  <c r="Q113" i="14"/>
  <c r="H113" i="14"/>
  <c r="F113" i="14"/>
  <c r="K113" i="14"/>
  <c r="O113" i="14"/>
  <c r="N113" i="14"/>
  <c r="L113" i="14"/>
  <c r="G113" i="14"/>
  <c r="J113" i="14"/>
  <c r="M113" i="14"/>
  <c r="H115" i="14"/>
  <c r="O115" i="14"/>
  <c r="M115" i="14"/>
  <c r="P115" i="14"/>
  <c r="G115" i="14"/>
  <c r="N115" i="14"/>
  <c r="Q115" i="14"/>
  <c r="K115" i="14"/>
  <c r="I115" i="14"/>
  <c r="F115" i="14"/>
  <c r="L115" i="14"/>
  <c r="J115" i="14"/>
  <c r="K94" i="14"/>
  <c r="K96" i="14" s="1"/>
  <c r="P94" i="14"/>
  <c r="P96" i="14" s="1"/>
  <c r="H94" i="14"/>
  <c r="H96" i="14" s="1"/>
  <c r="F94" i="14"/>
  <c r="M94" i="14"/>
  <c r="M96" i="14" s="1"/>
  <c r="J94" i="14"/>
  <c r="J96" i="14" s="1"/>
  <c r="G94" i="14"/>
  <c r="G96" i="14" s="1"/>
  <c r="N94" i="14"/>
  <c r="N96" i="14" s="1"/>
  <c r="Q94" i="14"/>
  <c r="Q96" i="14" s="1"/>
  <c r="R96" i="14"/>
  <c r="L94" i="14"/>
  <c r="L96" i="14" s="1"/>
  <c r="I94" i="14"/>
  <c r="I96" i="14" s="1"/>
  <c r="O94" i="14"/>
  <c r="O96" i="14" s="1"/>
  <c r="F126" i="3"/>
  <c r="G126" i="3"/>
  <c r="P61" i="1"/>
  <c r="O61" i="1"/>
  <c r="J61" i="1"/>
  <c r="H61" i="1"/>
  <c r="G61" i="1"/>
  <c r="Q60" i="1"/>
  <c r="K60" i="1"/>
  <c r="I60" i="1"/>
  <c r="Q59" i="1"/>
  <c r="K59" i="1"/>
  <c r="I59" i="1"/>
  <c r="D47" i="3"/>
  <c r="F96" i="14" l="1"/>
  <c r="T94" i="14"/>
  <c r="T96" i="14" s="1"/>
  <c r="U94" i="14"/>
  <c r="U96" i="14" s="1"/>
  <c r="Y94" i="14"/>
  <c r="Y96" i="14" s="1"/>
  <c r="AD94" i="14"/>
  <c r="AD96" i="14" s="1"/>
  <c r="W94" i="14"/>
  <c r="W96" i="14" s="1"/>
  <c r="X94" i="14"/>
  <c r="X96" i="14" s="1"/>
  <c r="Z94" i="14"/>
  <c r="Z96" i="14" s="1"/>
  <c r="AB94" i="14"/>
  <c r="AB96" i="14" s="1"/>
  <c r="V94" i="14"/>
  <c r="V96" i="14" s="1"/>
  <c r="AC94" i="14"/>
  <c r="AC96" i="14" s="1"/>
  <c r="S94" i="14"/>
  <c r="S96" i="14" s="1"/>
  <c r="AA94" i="14"/>
  <c r="AA96" i="14" s="1"/>
  <c r="F101" i="14"/>
  <c r="U99" i="14"/>
  <c r="U101" i="14" s="1"/>
  <c r="T99" i="14"/>
  <c r="T101" i="14" s="1"/>
  <c r="X99" i="14"/>
  <c r="X101" i="14" s="1"/>
  <c r="S99" i="14"/>
  <c r="S101" i="14" s="1"/>
  <c r="Z99" i="14"/>
  <c r="Z101" i="14" s="1"/>
  <c r="V99" i="14"/>
  <c r="V101" i="14" s="1"/>
  <c r="AD99" i="14"/>
  <c r="AD101" i="14" s="1"/>
  <c r="AC99" i="14"/>
  <c r="AC101" i="14" s="1"/>
  <c r="Y99" i="14"/>
  <c r="Y101" i="14" s="1"/>
  <c r="W99" i="14"/>
  <c r="W101" i="14" s="1"/>
  <c r="AA99" i="14"/>
  <c r="AA101" i="14" s="1"/>
  <c r="AB99" i="14"/>
  <c r="AB101" i="14" s="1"/>
  <c r="AC115" i="14"/>
  <c r="T115" i="14"/>
  <c r="AD115" i="14"/>
  <c r="AB115" i="14"/>
  <c r="AA115" i="14"/>
  <c r="Y115" i="14"/>
  <c r="V115" i="14"/>
  <c r="W115" i="14"/>
  <c r="U115" i="14"/>
  <c r="Z115" i="14"/>
  <c r="S115" i="14"/>
  <c r="X115" i="14"/>
  <c r="Z113" i="14"/>
  <c r="X113" i="14"/>
  <c r="AC113" i="14"/>
  <c r="AD113" i="14"/>
  <c r="AA113" i="14"/>
  <c r="V113" i="14"/>
  <c r="T113" i="14"/>
  <c r="S113" i="14"/>
  <c r="Y113" i="14"/>
  <c r="U113" i="14"/>
  <c r="AB113" i="14"/>
  <c r="W113" i="14"/>
  <c r="F47" i="3"/>
  <c r="F50" i="3" s="1"/>
  <c r="F82" i="3" s="1"/>
  <c r="G47" i="3"/>
  <c r="D50" i="3"/>
  <c r="K61" i="1"/>
  <c r="Q61" i="1"/>
  <c r="I61" i="1"/>
  <c r="D127" i="3"/>
  <c r="D82" i="3" l="1"/>
  <c r="G82" i="3" s="1"/>
  <c r="G50" i="3"/>
  <c r="F127" i="3"/>
  <c r="F132" i="3" s="1"/>
  <c r="G127" i="3"/>
  <c r="K128" i="1"/>
  <c r="I129" i="1"/>
  <c r="I104" i="1"/>
  <c r="I163" i="1"/>
  <c r="I162" i="1"/>
  <c r="I161" i="1"/>
  <c r="I160" i="1"/>
  <c r="I154" i="1"/>
  <c r="I153" i="1"/>
  <c r="I152" i="1"/>
  <c r="I151" i="1"/>
  <c r="I150" i="1"/>
  <c r="I149" i="1"/>
  <c r="I148" i="1"/>
  <c r="I147" i="1"/>
  <c r="I143" i="1"/>
  <c r="I142" i="1"/>
  <c r="I141" i="1"/>
  <c r="I140" i="1"/>
  <c r="I139" i="1"/>
  <c r="I138" i="1"/>
  <c r="I137" i="1"/>
  <c r="I131" i="1"/>
  <c r="I130" i="1"/>
  <c r="I127" i="1"/>
  <c r="I126" i="1"/>
  <c r="I125" i="1"/>
  <c r="I124" i="1"/>
  <c r="I123" i="1"/>
  <c r="I118" i="1"/>
  <c r="I115" i="1"/>
  <c r="I114" i="1"/>
  <c r="I113" i="1"/>
  <c r="I109" i="1"/>
  <c r="I108" i="1"/>
  <c r="I107" i="1"/>
  <c r="I106" i="1"/>
  <c r="I105" i="1"/>
  <c r="I100" i="1"/>
  <c r="I99" i="1"/>
  <c r="I95" i="1"/>
  <c r="I94" i="1"/>
  <c r="I90" i="1"/>
  <c r="I89" i="1"/>
  <c r="I87" i="1"/>
  <c r="I80" i="1"/>
  <c r="I79" i="1"/>
  <c r="I78" i="1"/>
  <c r="I77" i="1"/>
  <c r="I76" i="1"/>
  <c r="I75" i="1"/>
  <c r="I74" i="1"/>
  <c r="I70" i="1"/>
  <c r="I69" i="1"/>
  <c r="I68" i="1"/>
  <c r="I67" i="1"/>
  <c r="I66" i="1"/>
  <c r="I63" i="1"/>
  <c r="I55" i="1"/>
  <c r="I54" i="1"/>
  <c r="I53" i="1"/>
  <c r="I49" i="1"/>
  <c r="I48" i="1"/>
  <c r="I47" i="1"/>
  <c r="I46" i="1"/>
  <c r="I43" i="1"/>
  <c r="I40" i="1"/>
  <c r="I39" i="1"/>
  <c r="I38" i="1"/>
  <c r="I37" i="1"/>
  <c r="I36" i="1"/>
  <c r="I35" i="1"/>
  <c r="I20" i="1"/>
  <c r="I19" i="1"/>
  <c r="I18" i="1"/>
  <c r="I17" i="1"/>
  <c r="I16" i="1"/>
  <c r="I12" i="1"/>
  <c r="I11" i="1"/>
  <c r="I10" i="1"/>
  <c r="I9" i="1"/>
  <c r="I8" i="1"/>
  <c r="I7" i="1"/>
  <c r="H164" i="1"/>
  <c r="H155" i="1"/>
  <c r="H144" i="1"/>
  <c r="H132" i="1"/>
  <c r="H110" i="1"/>
  <c r="H101" i="1"/>
  <c r="H81" i="1"/>
  <c r="H71" i="1"/>
  <c r="H56" i="1"/>
  <c r="H50" i="1"/>
  <c r="H41" i="1"/>
  <c r="H21" i="1"/>
  <c r="H13" i="1"/>
  <c r="Q7" i="1"/>
  <c r="Q163" i="1"/>
  <c r="Q162" i="1"/>
  <c r="Q161" i="1"/>
  <c r="Q160" i="1"/>
  <c r="Q154" i="1"/>
  <c r="Q153" i="1"/>
  <c r="Q152" i="1"/>
  <c r="Q151" i="1"/>
  <c r="Q150" i="1"/>
  <c r="Q149" i="1"/>
  <c r="Q148" i="1"/>
  <c r="Q147" i="1"/>
  <c r="Q143" i="1"/>
  <c r="Q142" i="1"/>
  <c r="Q141" i="1"/>
  <c r="Q140" i="1"/>
  <c r="Q139" i="1"/>
  <c r="Q138" i="1"/>
  <c r="Q137" i="1"/>
  <c r="Q131" i="1"/>
  <c r="Q130" i="1"/>
  <c r="Q129" i="1"/>
  <c r="Q128" i="1"/>
  <c r="Q127" i="1"/>
  <c r="Q126" i="1"/>
  <c r="Q125" i="1"/>
  <c r="Q124" i="1"/>
  <c r="Q123" i="1"/>
  <c r="Q122" i="1"/>
  <c r="Q118" i="1"/>
  <c r="Q115" i="1"/>
  <c r="Q114" i="1"/>
  <c r="Q113" i="1"/>
  <c r="Q109" i="1"/>
  <c r="Q108" i="1"/>
  <c r="Q107" i="1"/>
  <c r="Q106" i="1"/>
  <c r="Q105" i="1"/>
  <c r="Q104" i="1"/>
  <c r="Q100" i="1"/>
  <c r="Q99" i="1"/>
  <c r="Q95" i="1"/>
  <c r="Q94" i="1"/>
  <c r="Q90" i="1"/>
  <c r="Q89" i="1"/>
  <c r="Q88" i="1"/>
  <c r="Q87" i="1"/>
  <c r="Q80" i="1"/>
  <c r="Q79" i="1"/>
  <c r="Q78" i="1"/>
  <c r="Q77" i="1"/>
  <c r="Q76" i="1"/>
  <c r="Q75" i="1"/>
  <c r="Q74" i="1"/>
  <c r="Q70" i="1"/>
  <c r="Q69" i="1"/>
  <c r="Q68" i="1"/>
  <c r="Q67" i="1"/>
  <c r="Q66" i="1"/>
  <c r="Q63" i="1"/>
  <c r="Q55" i="1"/>
  <c r="Q54" i="1"/>
  <c r="Q53" i="1"/>
  <c r="Q49" i="1"/>
  <c r="Q48" i="1"/>
  <c r="Q47" i="1"/>
  <c r="Q46" i="1"/>
  <c r="Q43" i="1"/>
  <c r="Q40" i="1"/>
  <c r="Q39" i="1"/>
  <c r="Q38" i="1"/>
  <c r="Q37" i="1"/>
  <c r="Q36" i="1"/>
  <c r="Q35" i="1"/>
  <c r="Q31" i="1"/>
  <c r="Q20" i="1"/>
  <c r="Q19" i="1"/>
  <c r="Q18" i="1"/>
  <c r="Q17" i="1"/>
  <c r="Q16" i="1"/>
  <c r="Q12" i="1"/>
  <c r="Q11" i="1"/>
  <c r="Q10" i="1"/>
  <c r="Q9" i="1"/>
  <c r="Q8" i="1"/>
  <c r="P13" i="1"/>
  <c r="P21" i="1"/>
  <c r="P41" i="1"/>
  <c r="P50" i="1"/>
  <c r="P56" i="1"/>
  <c r="P71" i="1"/>
  <c r="P81" i="1"/>
  <c r="P96" i="1"/>
  <c r="P101" i="1"/>
  <c r="P110" i="1"/>
  <c r="P132" i="1"/>
  <c r="P144" i="1"/>
  <c r="P155" i="1"/>
  <c r="P164" i="1"/>
  <c r="O164" i="1"/>
  <c r="O155" i="1"/>
  <c r="O144" i="1"/>
  <c r="O132" i="1"/>
  <c r="O119" i="1"/>
  <c r="O110" i="1"/>
  <c r="O101" i="1"/>
  <c r="O96" i="1"/>
  <c r="O91" i="1"/>
  <c r="O81" i="1"/>
  <c r="O71" i="1"/>
  <c r="O56" i="1"/>
  <c r="O50" i="1"/>
  <c r="O41" i="1"/>
  <c r="O21" i="1"/>
  <c r="O13" i="1"/>
  <c r="J164" i="1"/>
  <c r="G164" i="1"/>
  <c r="K163" i="1"/>
  <c r="K162" i="1"/>
  <c r="K161" i="1"/>
  <c r="K160" i="1"/>
  <c r="K153" i="1"/>
  <c r="J155" i="1"/>
  <c r="G155" i="1"/>
  <c r="K154" i="1"/>
  <c r="K152" i="1"/>
  <c r="K151" i="1"/>
  <c r="K150" i="1"/>
  <c r="K149" i="1"/>
  <c r="K148" i="1"/>
  <c r="K147" i="1"/>
  <c r="J144" i="1"/>
  <c r="G144" i="1"/>
  <c r="K143" i="1"/>
  <c r="K142" i="1"/>
  <c r="K141" i="1"/>
  <c r="K140" i="1"/>
  <c r="K139" i="1"/>
  <c r="K138" i="1"/>
  <c r="K137" i="1"/>
  <c r="K127" i="1"/>
  <c r="K130" i="1"/>
  <c r="J132" i="1"/>
  <c r="K131" i="1"/>
  <c r="K126" i="1"/>
  <c r="K125" i="1"/>
  <c r="K124" i="1"/>
  <c r="K123" i="1"/>
  <c r="J119" i="1"/>
  <c r="K118" i="1"/>
  <c r="K115" i="1"/>
  <c r="K114" i="1"/>
  <c r="K113" i="1"/>
  <c r="K108" i="1"/>
  <c r="J110" i="1"/>
  <c r="G110" i="1"/>
  <c r="K109" i="1"/>
  <c r="K107" i="1"/>
  <c r="K106" i="1"/>
  <c r="K105" i="1"/>
  <c r="J101" i="1"/>
  <c r="G101" i="1"/>
  <c r="K100" i="1"/>
  <c r="K99" i="1"/>
  <c r="J96" i="1"/>
  <c r="G96" i="1"/>
  <c r="K95" i="1"/>
  <c r="K94" i="1"/>
  <c r="J91" i="1"/>
  <c r="K90" i="1"/>
  <c r="K89" i="1"/>
  <c r="K87" i="1"/>
  <c r="K78" i="1"/>
  <c r="K79" i="1"/>
  <c r="J81" i="1"/>
  <c r="G81" i="1"/>
  <c r="K80" i="1"/>
  <c r="K77" i="1"/>
  <c r="K76" i="1"/>
  <c r="K75" i="1"/>
  <c r="K74" i="1"/>
  <c r="K68" i="1"/>
  <c r="K69" i="1"/>
  <c r="J71" i="1"/>
  <c r="G71" i="1"/>
  <c r="K70" i="1"/>
  <c r="K67" i="1"/>
  <c r="K66" i="1"/>
  <c r="K63" i="1"/>
  <c r="G56" i="1"/>
  <c r="K54" i="1"/>
  <c r="J56" i="1"/>
  <c r="K55" i="1"/>
  <c r="K53" i="1"/>
  <c r="J50" i="1"/>
  <c r="G50" i="1"/>
  <c r="K49" i="1"/>
  <c r="K48" i="1"/>
  <c r="K47" i="1"/>
  <c r="K46" i="1"/>
  <c r="K43" i="1"/>
  <c r="K40" i="1"/>
  <c r="K39" i="1"/>
  <c r="K38" i="1"/>
  <c r="K37" i="1"/>
  <c r="K36" i="1"/>
  <c r="K35" i="1"/>
  <c r="J41" i="1"/>
  <c r="G41" i="1"/>
  <c r="K20" i="1"/>
  <c r="K19" i="1"/>
  <c r="K18" i="1"/>
  <c r="K17" i="1"/>
  <c r="K16" i="1"/>
  <c r="K12" i="1"/>
  <c r="K11" i="1"/>
  <c r="K10" i="1"/>
  <c r="K9" i="1"/>
  <c r="K8" i="1"/>
  <c r="K7" i="1"/>
  <c r="J21" i="1"/>
  <c r="G21" i="1"/>
  <c r="G13" i="1"/>
  <c r="J13" i="1"/>
  <c r="G82" i="1" l="1"/>
  <c r="J82" i="1"/>
  <c r="P82" i="1"/>
  <c r="O82" i="1"/>
  <c r="H82" i="1"/>
  <c r="I56" i="1"/>
  <c r="I128" i="1"/>
  <c r="K129" i="1"/>
  <c r="I71" i="1"/>
  <c r="I81" i="1"/>
  <c r="I101" i="1"/>
  <c r="I41" i="1"/>
  <c r="I21" i="1"/>
  <c r="J156" i="1"/>
  <c r="O22" i="1"/>
  <c r="I164" i="1"/>
  <c r="I155" i="1"/>
  <c r="Q101" i="1"/>
  <c r="Q71" i="1"/>
  <c r="Q21" i="1"/>
  <c r="I13" i="1"/>
  <c r="I50" i="1"/>
  <c r="I110" i="1"/>
  <c r="Q50" i="1"/>
  <c r="Q132" i="1"/>
  <c r="Q96" i="1"/>
  <c r="Q56" i="1"/>
  <c r="Q13" i="1"/>
  <c r="I144" i="1"/>
  <c r="Q164" i="1"/>
  <c r="H22" i="1"/>
  <c r="H26" i="1" s="1"/>
  <c r="H30" i="1" s="1"/>
  <c r="I96" i="1"/>
  <c r="Q144" i="1"/>
  <c r="Q155" i="1"/>
  <c r="Q110" i="1"/>
  <c r="Q81" i="1"/>
  <c r="Q41" i="1"/>
  <c r="K104" i="1"/>
  <c r="H156" i="1"/>
  <c r="P156" i="1"/>
  <c r="P22" i="1"/>
  <c r="O156" i="1"/>
  <c r="G156" i="1"/>
  <c r="O133" i="1"/>
  <c r="K164" i="1"/>
  <c r="K155" i="1"/>
  <c r="K144" i="1"/>
  <c r="J133" i="1"/>
  <c r="K101" i="1"/>
  <c r="K110" i="1"/>
  <c r="G22" i="1"/>
  <c r="G26" i="1" s="1"/>
  <c r="K96" i="1"/>
  <c r="K21" i="1"/>
  <c r="K81" i="1"/>
  <c r="K71" i="1"/>
  <c r="K56" i="1"/>
  <c r="J22" i="1"/>
  <c r="K50" i="1"/>
  <c r="K41" i="1"/>
  <c r="K13" i="1"/>
  <c r="J166" i="1" l="1"/>
  <c r="J167" i="1" s="1"/>
  <c r="D30" i="3"/>
  <c r="D26" i="3"/>
  <c r="F26" i="3" s="1"/>
  <c r="Q22" i="1"/>
  <c r="O166" i="1"/>
  <c r="O167" i="1" s="1"/>
  <c r="I22" i="1"/>
  <c r="I156" i="1"/>
  <c r="Q82" i="1"/>
  <c r="Q156" i="1"/>
  <c r="K156" i="1"/>
  <c r="K22" i="1"/>
  <c r="F30" i="3" l="1"/>
  <c r="F31" i="3" s="1"/>
  <c r="D31" i="3"/>
  <c r="G31" i="3" s="1"/>
  <c r="G31" i="1"/>
  <c r="K31" i="1" s="1"/>
  <c r="K82" i="1"/>
  <c r="I82" i="1"/>
  <c r="I31" i="1" l="1"/>
  <c r="K122" i="1"/>
  <c r="I122" i="1"/>
  <c r="G132" i="1"/>
  <c r="K132" i="1" s="1"/>
  <c r="I132" i="1" l="1"/>
  <c r="D96" i="3" l="1"/>
  <c r="D101" i="3"/>
  <c r="D132" i="3" l="1"/>
  <c r="G122" i="3" l="1"/>
  <c r="E91" i="3"/>
  <c r="E96" i="3"/>
  <c r="G94" i="3"/>
  <c r="G96" i="3" l="1"/>
  <c r="G99" i="3"/>
  <c r="E101" i="3"/>
  <c r="G101" i="3" s="1"/>
  <c r="G113" i="3"/>
  <c r="G115" i="3"/>
  <c r="E119" i="3"/>
  <c r="G123" i="3"/>
  <c r="E132" i="3"/>
  <c r="G132" i="3" s="1"/>
  <c r="E133" i="3"/>
  <c r="E166" i="3" l="1"/>
  <c r="E167" i="3" l="1"/>
  <c r="H91" i="1" l="1"/>
  <c r="R86" i="13"/>
  <c r="N86" i="13" s="1"/>
  <c r="N91" i="13" s="1"/>
  <c r="M86" i="4"/>
  <c r="M91" i="4" s="1"/>
  <c r="R86" i="14" l="1"/>
  <c r="G86" i="13"/>
  <c r="G91" i="13" s="1"/>
  <c r="N86" i="4"/>
  <c r="N91" i="4" s="1"/>
  <c r="F86" i="13"/>
  <c r="R91" i="13"/>
  <c r="L86" i="4"/>
  <c r="L91" i="4" s="1"/>
  <c r="O86" i="4"/>
  <c r="O91" i="4" s="1"/>
  <c r="P86" i="4"/>
  <c r="P91" i="4" s="1"/>
  <c r="J86" i="4"/>
  <c r="J91" i="4" s="1"/>
  <c r="D86" i="3"/>
  <c r="G86" i="3" s="1"/>
  <c r="P86" i="13"/>
  <c r="P91" i="13" s="1"/>
  <c r="G86" i="4"/>
  <c r="G91" i="4" s="1"/>
  <c r="R91" i="4"/>
  <c r="H86" i="4"/>
  <c r="H91" i="4" s="1"/>
  <c r="Q86" i="4"/>
  <c r="Q91" i="4" s="1"/>
  <c r="K86" i="4"/>
  <c r="K91" i="4" s="1"/>
  <c r="I86" i="4"/>
  <c r="I91" i="4" s="1"/>
  <c r="F86" i="4"/>
  <c r="L86" i="11"/>
  <c r="L91" i="11" s="1"/>
  <c r="L86" i="13"/>
  <c r="L91" i="13" s="1"/>
  <c r="Q86" i="13"/>
  <c r="Q91" i="13" s="1"/>
  <c r="H86" i="13"/>
  <c r="M86" i="13"/>
  <c r="M91" i="13" s="1"/>
  <c r="J86" i="13"/>
  <c r="J91" i="13" s="1"/>
  <c r="O86" i="13"/>
  <c r="O91" i="13" s="1"/>
  <c r="I86" i="13"/>
  <c r="I91" i="13" s="1"/>
  <c r="K86" i="13"/>
  <c r="K91" i="13" s="1"/>
  <c r="I86" i="1"/>
  <c r="K86" i="1"/>
  <c r="F86" i="8" l="1"/>
  <c r="G86" i="8" s="1"/>
  <c r="T86" i="13"/>
  <c r="T91" i="13" s="1"/>
  <c r="J86" i="14"/>
  <c r="O86" i="14"/>
  <c r="G86" i="14"/>
  <c r="N86" i="14"/>
  <c r="K86" i="14"/>
  <c r="H86" i="14"/>
  <c r="M86" i="14"/>
  <c r="P86" i="14"/>
  <c r="I86" i="14"/>
  <c r="F86" i="14"/>
  <c r="L86" i="14"/>
  <c r="Q86" i="14"/>
  <c r="F86" i="3"/>
  <c r="R88" i="14"/>
  <c r="D88" i="3"/>
  <c r="K88" i="1"/>
  <c r="I88" i="1"/>
  <c r="G91" i="1"/>
  <c r="F91" i="13"/>
  <c r="S86" i="13"/>
  <c r="S91" i="13" s="1"/>
  <c r="M86" i="11"/>
  <c r="U86" i="13"/>
  <c r="U91" i="13" s="1"/>
  <c r="H91" i="13"/>
  <c r="X86" i="13"/>
  <c r="X91" i="13" s="1"/>
  <c r="Z86" i="13"/>
  <c r="Z91" i="13" s="1"/>
  <c r="AA86" i="13"/>
  <c r="AA91" i="13" s="1"/>
  <c r="V86" i="13"/>
  <c r="V91" i="13" s="1"/>
  <c r="Y86" i="13"/>
  <c r="Y91" i="13" s="1"/>
  <c r="AB86" i="13"/>
  <c r="AB91" i="13" s="1"/>
  <c r="S86" i="4"/>
  <c r="S91" i="4" s="1"/>
  <c r="Z86" i="4"/>
  <c r="Z91" i="4" s="1"/>
  <c r="AC86" i="4"/>
  <c r="AC91" i="4" s="1"/>
  <c r="F91" i="4"/>
  <c r="W86" i="4"/>
  <c r="W91" i="4" s="1"/>
  <c r="V86" i="4"/>
  <c r="V91" i="4" s="1"/>
  <c r="Y86" i="4"/>
  <c r="Y91" i="4" s="1"/>
  <c r="AB86" i="4"/>
  <c r="T86" i="4"/>
  <c r="T91" i="4" s="1"/>
  <c r="X86" i="4"/>
  <c r="X91" i="4" s="1"/>
  <c r="U86" i="4"/>
  <c r="U91" i="4" s="1"/>
  <c r="AA86" i="4"/>
  <c r="AA91" i="4" s="1"/>
  <c r="AD86" i="4"/>
  <c r="AD91" i="4" s="1"/>
  <c r="W86" i="13"/>
  <c r="W91" i="13" s="1"/>
  <c r="AD86" i="13"/>
  <c r="AD91" i="13" s="1"/>
  <c r="AC86" i="13"/>
  <c r="AC91" i="13" s="1"/>
  <c r="M91" i="11"/>
  <c r="F91" i="8" l="1"/>
  <c r="G91" i="8" s="1"/>
  <c r="K91" i="1"/>
  <c r="I91" i="1"/>
  <c r="O88" i="14"/>
  <c r="O91" i="14" s="1"/>
  <c r="G88" i="14"/>
  <c r="J88" i="14"/>
  <c r="J91" i="14" s="1"/>
  <c r="I88" i="14"/>
  <c r="I91" i="14" s="1"/>
  <c r="Q88" i="14"/>
  <c r="Q91" i="14" s="1"/>
  <c r="F88" i="14"/>
  <c r="L88" i="14"/>
  <c r="L91" i="14" s="1"/>
  <c r="H88" i="14"/>
  <c r="H91" i="14" s="1"/>
  <c r="P88" i="14"/>
  <c r="P91" i="14" s="1"/>
  <c r="N88" i="14"/>
  <c r="N91" i="14" s="1"/>
  <c r="K88" i="14"/>
  <c r="K91" i="14" s="1"/>
  <c r="M88" i="14"/>
  <c r="M91" i="14" s="1"/>
  <c r="T86" i="14"/>
  <c r="AA86" i="14"/>
  <c r="U86" i="14"/>
  <c r="X86" i="14"/>
  <c r="AD86" i="14"/>
  <c r="V86" i="14"/>
  <c r="AC86" i="14"/>
  <c r="AB86" i="14"/>
  <c r="Y86" i="14"/>
  <c r="W86" i="14"/>
  <c r="Z86" i="14"/>
  <c r="S86" i="14"/>
  <c r="R91" i="14"/>
  <c r="F88" i="3"/>
  <c r="F91" i="3" s="1"/>
  <c r="G88" i="3"/>
  <c r="D91" i="3"/>
  <c r="G91" i="3" s="1"/>
  <c r="G86" i="11"/>
  <c r="AB91" i="4"/>
  <c r="P86" i="1"/>
  <c r="L86" i="8"/>
  <c r="S88" i="14" l="1"/>
  <c r="S91" i="14" s="1"/>
  <c r="T88" i="14"/>
  <c r="T91" i="14" s="1"/>
  <c r="AD88" i="14"/>
  <c r="AD91" i="14" s="1"/>
  <c r="AB88" i="14"/>
  <c r="AB91" i="14" s="1"/>
  <c r="Y88" i="14"/>
  <c r="Y91" i="14" s="1"/>
  <c r="AA88" i="14"/>
  <c r="AA91" i="14" s="1"/>
  <c r="AC88" i="14"/>
  <c r="X88" i="14"/>
  <c r="X91" i="14" s="1"/>
  <c r="W88" i="14"/>
  <c r="W91" i="14" s="1"/>
  <c r="Z88" i="14"/>
  <c r="Z91" i="14" s="1"/>
  <c r="V88" i="14"/>
  <c r="V91" i="14" s="1"/>
  <c r="F91" i="14"/>
  <c r="U88" i="14"/>
  <c r="U91" i="14" s="1"/>
  <c r="G91" i="14"/>
  <c r="AC91" i="14"/>
  <c r="H86" i="11"/>
  <c r="G91" i="11"/>
  <c r="M86" i="8"/>
  <c r="L91" i="8"/>
  <c r="P91" i="1"/>
  <c r="Q86" i="1"/>
  <c r="H91" i="11" l="1"/>
  <c r="M91" i="8"/>
  <c r="Q91" i="1"/>
  <c r="H119" i="1"/>
  <c r="R117" i="13"/>
  <c r="R116" i="14"/>
  <c r="R116" i="13"/>
  <c r="K116" i="4"/>
  <c r="D117" i="3" l="1"/>
  <c r="R117" i="14"/>
  <c r="I117" i="1"/>
  <c r="N116" i="14"/>
  <c r="Q116" i="14"/>
  <c r="I116" i="14"/>
  <c r="H116" i="14"/>
  <c r="O116" i="14"/>
  <c r="K116" i="14"/>
  <c r="J116" i="14"/>
  <c r="P116" i="14"/>
  <c r="F116" i="14"/>
  <c r="G116" i="14"/>
  <c r="R119" i="14"/>
  <c r="R133" i="14" s="1"/>
  <c r="R166" i="14" s="1"/>
  <c r="K117" i="1"/>
  <c r="D116" i="3"/>
  <c r="G116" i="3" s="1"/>
  <c r="O116" i="4"/>
  <c r="P116" i="4"/>
  <c r="F116" i="4"/>
  <c r="S116" i="4" s="1"/>
  <c r="N116" i="13"/>
  <c r="O116" i="13"/>
  <c r="K116" i="13"/>
  <c r="H116" i="13"/>
  <c r="P116" i="13"/>
  <c r="R119" i="13"/>
  <c r="R133" i="13" s="1"/>
  <c r="R166" i="13" s="1"/>
  <c r="F116" i="13"/>
  <c r="G116" i="13"/>
  <c r="J116" i="13"/>
  <c r="Q116" i="13"/>
  <c r="I116" i="13"/>
  <c r="G117" i="13"/>
  <c r="N117" i="13"/>
  <c r="I117" i="13"/>
  <c r="K117" i="13"/>
  <c r="J117" i="13"/>
  <c r="H117" i="13"/>
  <c r="L117" i="13"/>
  <c r="L119" i="13" s="1"/>
  <c r="L133" i="13" s="1"/>
  <c r="L166" i="13" s="1"/>
  <c r="L167" i="13" s="1"/>
  <c r="F117" i="13"/>
  <c r="M117" i="13"/>
  <c r="M119" i="13" s="1"/>
  <c r="M133" i="13" s="1"/>
  <c r="M166" i="13" s="1"/>
  <c r="M167" i="13" s="1"/>
  <c r="H133" i="1"/>
  <c r="O117" i="13"/>
  <c r="G116" i="4"/>
  <c r="N116" i="4"/>
  <c r="L116" i="11"/>
  <c r="M116" i="11" s="1"/>
  <c r="J116" i="4"/>
  <c r="H116" i="4"/>
  <c r="I116" i="4"/>
  <c r="K116" i="1"/>
  <c r="I116" i="1"/>
  <c r="L117" i="4"/>
  <c r="L119" i="4" s="1"/>
  <c r="L133" i="4" s="1"/>
  <c r="L166" i="4" s="1"/>
  <c r="L167" i="4" s="1"/>
  <c r="L117" i="11"/>
  <c r="M117" i="11" s="1"/>
  <c r="Q116" i="4"/>
  <c r="G117" i="3"/>
  <c r="F117" i="3"/>
  <c r="Q117" i="13"/>
  <c r="H117" i="4"/>
  <c r="Q117" i="4"/>
  <c r="K117" i="4"/>
  <c r="K119" i="4" s="1"/>
  <c r="K133" i="4" s="1"/>
  <c r="K166" i="4" s="1"/>
  <c r="K167" i="4" s="1"/>
  <c r="O117" i="4"/>
  <c r="P117" i="4"/>
  <c r="I117" i="4"/>
  <c r="M117" i="4"/>
  <c r="M119" i="4" s="1"/>
  <c r="M133" i="4" s="1"/>
  <c r="M166" i="4" s="1"/>
  <c r="M167" i="4" s="1"/>
  <c r="J117" i="4"/>
  <c r="N117" i="4"/>
  <c r="F117" i="4"/>
  <c r="R119" i="4"/>
  <c r="G119" i="1"/>
  <c r="G117" i="4"/>
  <c r="P117" i="13"/>
  <c r="F117" i="8" l="1"/>
  <c r="G117" i="8" s="1"/>
  <c r="P119" i="4"/>
  <c r="P133" i="4" s="1"/>
  <c r="P166" i="4" s="1"/>
  <c r="P167" i="4" s="1"/>
  <c r="F116" i="8"/>
  <c r="G116" i="8" s="1"/>
  <c r="T116" i="14"/>
  <c r="W116" i="14"/>
  <c r="U116" i="14"/>
  <c r="V116" i="14"/>
  <c r="AD116" i="14"/>
  <c r="AC116" i="14"/>
  <c r="AA116" i="14"/>
  <c r="AB116" i="14"/>
  <c r="Z116" i="14"/>
  <c r="S116" i="14"/>
  <c r="X116" i="14"/>
  <c r="Y116" i="14"/>
  <c r="F116" i="3"/>
  <c r="F119" i="3" s="1"/>
  <c r="F133" i="3" s="1"/>
  <c r="F166" i="3" s="1"/>
  <c r="F167" i="3" s="1"/>
  <c r="R167" i="14"/>
  <c r="I117" i="14"/>
  <c r="I119" i="14" s="1"/>
  <c r="I133" i="14" s="1"/>
  <c r="I166" i="14" s="1"/>
  <c r="I167" i="14" s="1"/>
  <c r="Q117" i="14"/>
  <c r="Q119" i="14" s="1"/>
  <c r="Q133" i="14" s="1"/>
  <c r="Q166" i="14" s="1"/>
  <c r="Q167" i="14" s="1"/>
  <c r="N117" i="14"/>
  <c r="N119" i="14" s="1"/>
  <c r="N133" i="14" s="1"/>
  <c r="L117" i="14"/>
  <c r="L119" i="14" s="1"/>
  <c r="L133" i="14" s="1"/>
  <c r="L166" i="14" s="1"/>
  <c r="L167" i="14" s="1"/>
  <c r="M117" i="14"/>
  <c r="M119" i="14" s="1"/>
  <c r="M133" i="14" s="1"/>
  <c r="M166" i="14" s="1"/>
  <c r="M167" i="14" s="1"/>
  <c r="G117" i="14"/>
  <c r="J117" i="14"/>
  <c r="J119" i="14" s="1"/>
  <c r="J133" i="14" s="1"/>
  <c r="J166" i="14" s="1"/>
  <c r="J167" i="14" s="1"/>
  <c r="H117" i="14"/>
  <c r="H119" i="14" s="1"/>
  <c r="H133" i="14" s="1"/>
  <c r="H166" i="14" s="1"/>
  <c r="H167" i="14" s="1"/>
  <c r="K117" i="14"/>
  <c r="K119" i="14" s="1"/>
  <c r="K133" i="14" s="1"/>
  <c r="K166" i="14" s="1"/>
  <c r="K167" i="14" s="1"/>
  <c r="F117" i="14"/>
  <c r="O117" i="14"/>
  <c r="O119" i="14" s="1"/>
  <c r="O133" i="14" s="1"/>
  <c r="O166" i="14" s="1"/>
  <c r="O167" i="14" s="1"/>
  <c r="P117" i="14"/>
  <c r="P119" i="14" s="1"/>
  <c r="P133" i="14" s="1"/>
  <c r="P166" i="14" s="1"/>
  <c r="P167" i="14" s="1"/>
  <c r="D119" i="3"/>
  <c r="D133" i="3" s="1"/>
  <c r="G119" i="14"/>
  <c r="G133" i="14" s="1"/>
  <c r="G166" i="14" s="1"/>
  <c r="G167" i="14" s="1"/>
  <c r="I119" i="13"/>
  <c r="I133" i="13" s="1"/>
  <c r="I166" i="13" s="1"/>
  <c r="I167" i="13" s="1"/>
  <c r="H119" i="4"/>
  <c r="H133" i="4" s="1"/>
  <c r="H166" i="4" s="1"/>
  <c r="H167" i="4" s="1"/>
  <c r="J119" i="13"/>
  <c r="J133" i="13" s="1"/>
  <c r="J166" i="13" s="1"/>
  <c r="J167" i="13" s="1"/>
  <c r="N119" i="13"/>
  <c r="N133" i="13" s="1"/>
  <c r="N166" i="13" s="1"/>
  <c r="N167" i="13" s="1"/>
  <c r="W117" i="4"/>
  <c r="U117" i="4"/>
  <c r="Z117" i="4"/>
  <c r="X117" i="4"/>
  <c r="AA117" i="4"/>
  <c r="AC117" i="4"/>
  <c r="T117" i="4"/>
  <c r="S117" i="4"/>
  <c r="S119" i="4" s="1"/>
  <c r="S133" i="4" s="1"/>
  <c r="S166" i="4" s="1"/>
  <c r="S167" i="4" s="1"/>
  <c r="V117" i="4"/>
  <c r="AD117" i="4"/>
  <c r="Y117" i="4"/>
  <c r="AB117" i="4"/>
  <c r="T117" i="13"/>
  <c r="Y117" i="13"/>
  <c r="AB117" i="13"/>
  <c r="V117" i="13"/>
  <c r="X117" i="13"/>
  <c r="AC117" i="13"/>
  <c r="AA117" i="13"/>
  <c r="Z117" i="13"/>
  <c r="U117" i="13"/>
  <c r="AD117" i="13"/>
  <c r="S117" i="13"/>
  <c r="W117" i="13"/>
  <c r="P119" i="13"/>
  <c r="P133" i="13" s="1"/>
  <c r="P166" i="13" s="1"/>
  <c r="P167" i="13" s="1"/>
  <c r="W116" i="4"/>
  <c r="F119" i="4"/>
  <c r="F133" i="4" s="1"/>
  <c r="F166" i="4" s="1"/>
  <c r="F167" i="4" s="1"/>
  <c r="AB116" i="4"/>
  <c r="K119" i="1"/>
  <c r="G133" i="1"/>
  <c r="I133" i="1" s="1"/>
  <c r="Q119" i="4"/>
  <c r="Q133" i="4" s="1"/>
  <c r="Q166" i="4" s="1"/>
  <c r="Q167" i="4" s="1"/>
  <c r="J119" i="4"/>
  <c r="J133" i="4" s="1"/>
  <c r="J166" i="4" s="1"/>
  <c r="J167" i="4" s="1"/>
  <c r="G119" i="4"/>
  <c r="G133" i="4" s="1"/>
  <c r="G166" i="4" s="1"/>
  <c r="G167" i="4" s="1"/>
  <c r="G119" i="13"/>
  <c r="G133" i="13" s="1"/>
  <c r="G166" i="13" s="1"/>
  <c r="G167" i="13" s="1"/>
  <c r="H119" i="13"/>
  <c r="H133" i="13" s="1"/>
  <c r="H166" i="13" s="1"/>
  <c r="H167" i="13" s="1"/>
  <c r="X116" i="4"/>
  <c r="Z116" i="4"/>
  <c r="H166" i="1"/>
  <c r="O119" i="4"/>
  <c r="O133" i="4" s="1"/>
  <c r="L119" i="11"/>
  <c r="L133" i="11" s="1"/>
  <c r="L166" i="11" s="1"/>
  <c r="L19" i="12" s="1"/>
  <c r="S116" i="13"/>
  <c r="F119" i="13"/>
  <c r="F133" i="13" s="1"/>
  <c r="F166" i="13" s="1"/>
  <c r="F167" i="13" s="1"/>
  <c r="U116" i="13"/>
  <c r="U119" i="13" s="1"/>
  <c r="U133" i="13" s="1"/>
  <c r="U166" i="13" s="1"/>
  <c r="U167" i="13" s="1"/>
  <c r="X116" i="13"/>
  <c r="W116" i="13"/>
  <c r="V116" i="13"/>
  <c r="Z116" i="13"/>
  <c r="Y116" i="13"/>
  <c r="AC116" i="13"/>
  <c r="AC119" i="13" s="1"/>
  <c r="AC133" i="13" s="1"/>
  <c r="AC166" i="13" s="1"/>
  <c r="AC167" i="13" s="1"/>
  <c r="T116" i="13"/>
  <c r="AA116" i="13"/>
  <c r="AB116" i="13"/>
  <c r="AD116" i="13"/>
  <c r="AD119" i="13" s="1"/>
  <c r="AD133" i="13" s="1"/>
  <c r="AD166" i="13" s="1"/>
  <c r="AD167" i="13" s="1"/>
  <c r="K119" i="13"/>
  <c r="K133" i="13" s="1"/>
  <c r="K166" i="13" s="1"/>
  <c r="K167" i="13" s="1"/>
  <c r="AC116" i="4"/>
  <c r="V116" i="4"/>
  <c r="Y116" i="4"/>
  <c r="R133" i="4"/>
  <c r="I119" i="4"/>
  <c r="I133" i="4" s="1"/>
  <c r="I166" i="4" s="1"/>
  <c r="I167" i="4" s="1"/>
  <c r="N119" i="4"/>
  <c r="N133" i="4" s="1"/>
  <c r="I119" i="1"/>
  <c r="Q119" i="13"/>
  <c r="Q133" i="13" s="1"/>
  <c r="Q166" i="13" s="1"/>
  <c r="Q167" i="13" s="1"/>
  <c r="R167" i="13"/>
  <c r="O119" i="13"/>
  <c r="O133" i="13" s="1"/>
  <c r="O166" i="13" s="1"/>
  <c r="O167" i="13" s="1"/>
  <c r="AA116" i="4"/>
  <c r="T116" i="4"/>
  <c r="AD116" i="4"/>
  <c r="U116" i="4"/>
  <c r="O166" i="4" l="1"/>
  <c r="O167" i="4" s="1"/>
  <c r="O168" i="4" s="1"/>
  <c r="X119" i="13"/>
  <c r="X133" i="13" s="1"/>
  <c r="X166" i="13" s="1"/>
  <c r="X167" i="13" s="1"/>
  <c r="T119" i="13"/>
  <c r="T133" i="13" s="1"/>
  <c r="T166" i="13" s="1"/>
  <c r="T167" i="13" s="1"/>
  <c r="N166" i="4"/>
  <c r="N166" i="14"/>
  <c r="N167" i="14" s="1"/>
  <c r="V119" i="4"/>
  <c r="V133" i="4" s="1"/>
  <c r="V166" i="4" s="1"/>
  <c r="V167" i="4" s="1"/>
  <c r="F119" i="8"/>
  <c r="F133" i="8" s="1"/>
  <c r="AA119" i="4"/>
  <c r="AA133" i="4" s="1"/>
  <c r="AA166" i="4" s="1"/>
  <c r="AA167" i="4" s="1"/>
  <c r="W119" i="4"/>
  <c r="W133" i="4" s="1"/>
  <c r="W166" i="4" s="1"/>
  <c r="W167" i="4" s="1"/>
  <c r="AD119" i="4"/>
  <c r="AD133" i="4" s="1"/>
  <c r="AD166" i="4" s="1"/>
  <c r="AD167" i="4" s="1"/>
  <c r="AC119" i="4"/>
  <c r="AC133" i="4" s="1"/>
  <c r="AC166" i="4" s="1"/>
  <c r="AC167" i="4" s="1"/>
  <c r="AA119" i="13"/>
  <c r="AA133" i="13" s="1"/>
  <c r="AA166" i="13" s="1"/>
  <c r="AA167" i="13" s="1"/>
  <c r="U119" i="4"/>
  <c r="U133" i="4" s="1"/>
  <c r="U166" i="4" s="1"/>
  <c r="U167" i="4" s="1"/>
  <c r="G119" i="3"/>
  <c r="AD117" i="14"/>
  <c r="AD119" i="14" s="1"/>
  <c r="AD133" i="14" s="1"/>
  <c r="AD166" i="14" s="1"/>
  <c r="X117" i="14"/>
  <c r="X119" i="14" s="1"/>
  <c r="X133" i="14" s="1"/>
  <c r="X166" i="14" s="1"/>
  <c r="X167" i="14" s="1"/>
  <c r="U117" i="14"/>
  <c r="U119" i="14" s="1"/>
  <c r="U133" i="14" s="1"/>
  <c r="U166" i="14" s="1"/>
  <c r="U167" i="14" s="1"/>
  <c r="AB117" i="14"/>
  <c r="AB119" i="14" s="1"/>
  <c r="AB133" i="14" s="1"/>
  <c r="AB166" i="14" s="1"/>
  <c r="AB167" i="14" s="1"/>
  <c r="Z117" i="14"/>
  <c r="Z119" i="14" s="1"/>
  <c r="Z133" i="14" s="1"/>
  <c r="Z166" i="14" s="1"/>
  <c r="Z167" i="14" s="1"/>
  <c r="T117" i="14"/>
  <c r="T119" i="14" s="1"/>
  <c r="T133" i="14" s="1"/>
  <c r="T166" i="14" s="1"/>
  <c r="T167" i="14" s="1"/>
  <c r="Y117" i="14"/>
  <c r="Y119" i="14" s="1"/>
  <c r="Y133" i="14" s="1"/>
  <c r="Y166" i="14" s="1"/>
  <c r="Y167" i="14" s="1"/>
  <c r="V117" i="14"/>
  <c r="V119" i="14" s="1"/>
  <c r="V133" i="14" s="1"/>
  <c r="V166" i="14" s="1"/>
  <c r="V167" i="14" s="1"/>
  <c r="AA117" i="14"/>
  <c r="AA119" i="14" s="1"/>
  <c r="AA133" i="14" s="1"/>
  <c r="AA166" i="14" s="1"/>
  <c r="AA167" i="14" s="1"/>
  <c r="W117" i="14"/>
  <c r="W119" i="14" s="1"/>
  <c r="W133" i="14" s="1"/>
  <c r="W166" i="14" s="1"/>
  <c r="W167" i="14" s="1"/>
  <c r="S117" i="14"/>
  <c r="S119" i="14" s="1"/>
  <c r="S133" i="14" s="1"/>
  <c r="S166" i="14" s="1"/>
  <c r="S167" i="14" s="1"/>
  <c r="AC117" i="14"/>
  <c r="AC119" i="14" s="1"/>
  <c r="AC133" i="14" s="1"/>
  <c r="AC166" i="14" s="1"/>
  <c r="AC167" i="14" s="1"/>
  <c r="F119" i="14"/>
  <c r="F133" i="14" s="1"/>
  <c r="F166" i="14" s="1"/>
  <c r="F167" i="14" s="1"/>
  <c r="Y119" i="4"/>
  <c r="Y133" i="4" s="1"/>
  <c r="Y166" i="4" s="1"/>
  <c r="Y167" i="4" s="1"/>
  <c r="W119" i="13"/>
  <c r="W133" i="13" s="1"/>
  <c r="W166" i="13" s="1"/>
  <c r="W167" i="13" s="1"/>
  <c r="S119" i="13"/>
  <c r="S133" i="13" s="1"/>
  <c r="S166" i="13" s="1"/>
  <c r="S167" i="13" s="1"/>
  <c r="Z119" i="4"/>
  <c r="Z133" i="4" s="1"/>
  <c r="Z166" i="4" s="1"/>
  <c r="Z167" i="4" s="1"/>
  <c r="T119" i="4"/>
  <c r="T133" i="4" s="1"/>
  <c r="T166" i="4" s="1"/>
  <c r="T167" i="4" s="1"/>
  <c r="AB119" i="13"/>
  <c r="AB133" i="13" s="1"/>
  <c r="AB166" i="13" s="1"/>
  <c r="AB167" i="13" s="1"/>
  <c r="Y119" i="13"/>
  <c r="Y133" i="13" s="1"/>
  <c r="Y166" i="13" s="1"/>
  <c r="Y167" i="13" s="1"/>
  <c r="M119" i="11"/>
  <c r="L117" i="8"/>
  <c r="M117" i="8" s="1"/>
  <c r="G117" i="11"/>
  <c r="H117" i="11" s="1"/>
  <c r="P117" i="1"/>
  <c r="Q117" i="1" s="1"/>
  <c r="G133" i="3"/>
  <c r="D166" i="3"/>
  <c r="H167" i="1"/>
  <c r="L116" i="8"/>
  <c r="P116" i="1"/>
  <c r="G116" i="11"/>
  <c r="AB119" i="4"/>
  <c r="AB133" i="4" s="1"/>
  <c r="AB166" i="4" s="1"/>
  <c r="AB167" i="4" s="1"/>
  <c r="R166" i="4"/>
  <c r="M133" i="11"/>
  <c r="Z119" i="13"/>
  <c r="Z133" i="13" s="1"/>
  <c r="Z166" i="13" s="1"/>
  <c r="Z167" i="13" s="1"/>
  <c r="K133" i="1"/>
  <c r="G166" i="1"/>
  <c r="AD169" i="13"/>
  <c r="AD168" i="13"/>
  <c r="V119" i="13"/>
  <c r="V133" i="13" s="1"/>
  <c r="V166" i="13" s="1"/>
  <c r="V167" i="13" s="1"/>
  <c r="X119" i="4"/>
  <c r="X133" i="4" s="1"/>
  <c r="X166" i="4" s="1"/>
  <c r="X167" i="4" s="1"/>
  <c r="N167" i="4" l="1"/>
  <c r="G119" i="8"/>
  <c r="AD167" i="14"/>
  <c r="AD169" i="14" s="1"/>
  <c r="AD168" i="14"/>
  <c r="AD168" i="4"/>
  <c r="M166" i="11"/>
  <c r="M19" i="12"/>
  <c r="R167" i="4"/>
  <c r="AD169" i="4" s="1"/>
  <c r="M116" i="8"/>
  <c r="L119" i="8"/>
  <c r="G133" i="8"/>
  <c r="F166" i="8"/>
  <c r="K166" i="1"/>
  <c r="G167" i="1"/>
  <c r="K167" i="1" s="1"/>
  <c r="H116" i="11"/>
  <c r="G119" i="11"/>
  <c r="I166" i="1"/>
  <c r="P119" i="1"/>
  <c r="Q116" i="1"/>
  <c r="D167" i="3"/>
  <c r="G167" i="3" s="1"/>
  <c r="G166" i="3"/>
  <c r="Q119" i="1" l="1"/>
  <c r="P133" i="1"/>
  <c r="M119" i="8"/>
  <c r="L133" i="8"/>
  <c r="F167" i="8"/>
  <c r="G167" i="8" s="1"/>
  <c r="G166" i="8"/>
  <c r="H119" i="11"/>
  <c r="G133" i="11"/>
  <c r="G166" i="11" l="1"/>
  <c r="H133" i="11"/>
  <c r="P166" i="1"/>
  <c r="Q133" i="1"/>
  <c r="L166" i="8"/>
  <c r="M133" i="8"/>
  <c r="Q166" i="1" l="1"/>
  <c r="P167" i="1"/>
  <c r="Q167" i="1" s="1"/>
  <c r="M166" i="8"/>
  <c r="L167" i="8"/>
  <c r="M167" i="8" s="1"/>
  <c r="H166" i="11"/>
  <c r="G167" i="11"/>
  <c r="G19" i="12"/>
  <c r="H167" i="11" l="1"/>
  <c r="H19" i="12"/>
  <c r="G20" i="12"/>
  <c r="H20" i="12" s="1"/>
</calcChain>
</file>

<file path=xl/comments1.xml><?xml version="1.0" encoding="utf-8"?>
<comments xmlns="http://schemas.openxmlformats.org/spreadsheetml/2006/main">
  <authors>
    <author>Jacobson, Dawn M.</author>
  </authors>
  <commentList>
    <comment ref="G88" authorId="0">
      <text>
        <r>
          <rPr>
            <b/>
            <sz val="9"/>
            <color indexed="81"/>
            <rFont val="Tahoma"/>
            <family val="2"/>
          </rPr>
          <t>Jacobson, Dawn M.:</t>
        </r>
        <r>
          <rPr>
            <sz val="9"/>
            <color indexed="81"/>
            <rFont val="Tahoma"/>
            <family val="2"/>
          </rPr>
          <t xml:space="preserve">
Calc from Cheryl</t>
        </r>
      </text>
    </comment>
    <comment ref="G105" authorId="0">
      <text>
        <r>
          <rPr>
            <b/>
            <sz val="9"/>
            <color indexed="81"/>
            <rFont val="Tahoma"/>
            <family val="2"/>
          </rPr>
          <t>Jacobson, Dawn M.:</t>
        </r>
        <r>
          <rPr>
            <sz val="9"/>
            <color indexed="81"/>
            <rFont val="Tahoma"/>
            <family val="2"/>
          </rPr>
          <t xml:space="preserve">
Calc from Cheryl</t>
        </r>
      </text>
    </comment>
    <comment ref="G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2.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3.xml><?xml version="1.0" encoding="utf-8"?>
<comments xmlns="http://schemas.openxmlformats.org/spreadsheetml/2006/main">
  <authors>
    <author>Jacobson, Dawn M.</author>
  </authors>
  <commentList>
    <comment ref="E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4.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5.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6.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7.xml><?xml version="1.0" encoding="utf-8"?>
<comments xmlns="http://schemas.openxmlformats.org/spreadsheetml/2006/main">
  <authors>
    <author>Jacobson, Dawn M.</author>
  </authors>
  <commentList>
    <comment ref="F126" authorId="0">
      <text>
        <r>
          <rPr>
            <b/>
            <sz val="9"/>
            <color indexed="81"/>
            <rFont val="Tahoma"/>
            <family val="2"/>
          </rPr>
          <t>Jacobson, Dawn M.:</t>
        </r>
        <r>
          <rPr>
            <sz val="9"/>
            <color indexed="81"/>
            <rFont val="Tahoma"/>
            <family val="2"/>
          </rPr>
          <t xml:space="preserve">
$7.5/hour for 4 hours per week for 20 weeks
Per Cheryl</t>
        </r>
      </text>
    </comment>
    <comment ref="G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sharedStrings.xml><?xml version="1.0" encoding="utf-8"?>
<sst xmlns="http://schemas.openxmlformats.org/spreadsheetml/2006/main" count="2094" uniqueCount="274">
  <si>
    <t>Income</t>
  </si>
  <si>
    <t>Envelope Giving</t>
  </si>
  <si>
    <t>Advent Envelopes</t>
  </si>
  <si>
    <t>Easter Offerings</t>
  </si>
  <si>
    <t>Thanksgiving Offerings</t>
  </si>
  <si>
    <t>Christmas Offerings</t>
  </si>
  <si>
    <t>Lenten Offerings</t>
  </si>
  <si>
    <t>Total Envelope Giving</t>
  </si>
  <si>
    <t>Misc Income</t>
  </si>
  <si>
    <t>Loose Offerings</t>
  </si>
  <si>
    <t>Special Appeal</t>
  </si>
  <si>
    <t>Total Misc Income</t>
  </si>
  <si>
    <t>Current Investment Income</t>
  </si>
  <si>
    <t>2012 Budget</t>
  </si>
  <si>
    <t>TOTAL INCOME</t>
  </si>
  <si>
    <t>Expenses</t>
  </si>
  <si>
    <t>Mortgage</t>
  </si>
  <si>
    <t>Total Expected Income</t>
  </si>
  <si>
    <t>Line of Credit</t>
  </si>
  <si>
    <t>Line of Credit Interest</t>
  </si>
  <si>
    <t>Parish Ed</t>
  </si>
  <si>
    <t>Confirmation</t>
  </si>
  <si>
    <t>Vacation Bible School</t>
  </si>
  <si>
    <t>Library</t>
  </si>
  <si>
    <t>First Communion</t>
  </si>
  <si>
    <t>Total Parish Ed</t>
  </si>
  <si>
    <t>PACE</t>
  </si>
  <si>
    <t>Deacons</t>
  </si>
  <si>
    <t>Total Deacons</t>
  </si>
  <si>
    <t>Worship Supplies</t>
  </si>
  <si>
    <t>Saturday Nite Lite</t>
  </si>
  <si>
    <t>Children's Services</t>
  </si>
  <si>
    <t>Flowers</t>
  </si>
  <si>
    <t>Youth</t>
  </si>
  <si>
    <t>Youth Activities</t>
  </si>
  <si>
    <t>Total Youth</t>
  </si>
  <si>
    <t>Church &amp; Society</t>
  </si>
  <si>
    <t>Misc Programs</t>
  </si>
  <si>
    <t>Stewardship</t>
  </si>
  <si>
    <t>Envelopes, Giving</t>
  </si>
  <si>
    <t>Synod Assembly</t>
  </si>
  <si>
    <t>Evangelism</t>
  </si>
  <si>
    <t>Organ/Piano Maintenance/Tuning</t>
  </si>
  <si>
    <t>Total Misc Programs</t>
  </si>
  <si>
    <t>Office Expense</t>
  </si>
  <si>
    <t>Office Supplies</t>
  </si>
  <si>
    <t>Postage</t>
  </si>
  <si>
    <t>Advertising - Yellow/White Pages</t>
  </si>
  <si>
    <t>Office Equipment/Computer</t>
  </si>
  <si>
    <t>Kitchen Supplies</t>
  </si>
  <si>
    <t>Bank Fees</t>
  </si>
  <si>
    <t>STAFF</t>
  </si>
  <si>
    <t>Senior Pastor</t>
  </si>
  <si>
    <t>Total Office Expense</t>
  </si>
  <si>
    <t>Salary/FICA/Housing</t>
  </si>
  <si>
    <t>Travel Allowance</t>
  </si>
  <si>
    <t>Pension/Insurance</t>
  </si>
  <si>
    <t>Supplemental Insurance</t>
  </si>
  <si>
    <t>Continuing Education</t>
  </si>
  <si>
    <t>Total Senior Pastor</t>
  </si>
  <si>
    <t>Support Pastor</t>
  </si>
  <si>
    <t>Salary</t>
  </si>
  <si>
    <t>Travel Expense</t>
  </si>
  <si>
    <t>Total Support Pastor</t>
  </si>
  <si>
    <t>Youth Director</t>
  </si>
  <si>
    <t>Youth Assistant</t>
  </si>
  <si>
    <t>Total Youth Director</t>
  </si>
  <si>
    <t>Assoc. In Ministry (A.I.M.)</t>
  </si>
  <si>
    <t>Dental Premium</t>
  </si>
  <si>
    <t>Total A.I.M.</t>
  </si>
  <si>
    <t>Music Staff</t>
  </si>
  <si>
    <t>Organist</t>
  </si>
  <si>
    <t>Organist - subs</t>
  </si>
  <si>
    <t>Revelation Band</t>
  </si>
  <si>
    <t>Chancel Choir Director</t>
  </si>
  <si>
    <t>Youth Choir</t>
  </si>
  <si>
    <t>Music - Extra</t>
  </si>
  <si>
    <t>Total Music Staff</t>
  </si>
  <si>
    <t>Other Staff</t>
  </si>
  <si>
    <t>Total Other Staff</t>
  </si>
  <si>
    <t>Custodians</t>
  </si>
  <si>
    <t>Staff Development</t>
  </si>
  <si>
    <t>Staff Contingency/Jan T Gift</t>
  </si>
  <si>
    <t>Nursery Staff</t>
  </si>
  <si>
    <t>Church - FICA/MED</t>
  </si>
  <si>
    <t>Workers Compensation</t>
  </si>
  <si>
    <t>Supply Pastor Expenses</t>
  </si>
  <si>
    <t>Staff Compensation</t>
  </si>
  <si>
    <t>TOTAL STAFF</t>
  </si>
  <si>
    <t>Facilities</t>
  </si>
  <si>
    <t>Utilities</t>
  </si>
  <si>
    <t>Program Expenses</t>
  </si>
  <si>
    <t>Electric</t>
  </si>
  <si>
    <t>Gas</t>
  </si>
  <si>
    <t>Telephone (and Internet)</t>
  </si>
  <si>
    <t>Water</t>
  </si>
  <si>
    <t>Security</t>
  </si>
  <si>
    <t>Cell Phone</t>
  </si>
  <si>
    <t>City Assessment/Parking Lot</t>
  </si>
  <si>
    <t>Total Utilities</t>
  </si>
  <si>
    <t>Church Maintenance</t>
  </si>
  <si>
    <t>Insurance</t>
  </si>
  <si>
    <t>Snow Removal</t>
  </si>
  <si>
    <t>Misc Supplies</t>
  </si>
  <si>
    <t>Building Repairs</t>
  </si>
  <si>
    <t>Trustee Contingency</t>
  </si>
  <si>
    <t>Interest-Line of Credit</t>
  </si>
  <si>
    <t>Mortgage (ends 2016)</t>
  </si>
  <si>
    <t>Total Church Maintenance</t>
  </si>
  <si>
    <t>TOTAL FACILITIES</t>
  </si>
  <si>
    <t>Disbursements</t>
  </si>
  <si>
    <t>Restricted Funds</t>
  </si>
  <si>
    <t>Operating Fund Reserve</t>
  </si>
  <si>
    <t>Facilities Fund</t>
  </si>
  <si>
    <t>Misc Expense</t>
  </si>
  <si>
    <t>Line of Credit Payment</t>
  </si>
  <si>
    <t>Total Restricted Funds</t>
  </si>
  <si>
    <t>TOTAL EXPENSES</t>
  </si>
  <si>
    <t>Income less Expense</t>
  </si>
  <si>
    <t>Sunday School</t>
  </si>
  <si>
    <t>Actual vs Budget</t>
  </si>
  <si>
    <t>Full Year</t>
  </si>
  <si>
    <t>2011 Budget</t>
  </si>
  <si>
    <t>Lutheran Church of the Resurrection</t>
  </si>
  <si>
    <t>Cradle Roll</t>
  </si>
  <si>
    <t>Parish Secretary (full time)</t>
  </si>
  <si>
    <t>TOTAL PROGRAMS</t>
  </si>
  <si>
    <t>Total Church Membership</t>
  </si>
  <si>
    <t>Sunday Coffee</t>
  </si>
  <si>
    <t>Maintenance Contracts  (Recycle, Carpet, Elevator)</t>
  </si>
  <si>
    <t>NOTES</t>
  </si>
  <si>
    <t>New Program</t>
  </si>
  <si>
    <t>Previously Paid by Donor</t>
  </si>
  <si>
    <t>Was part of Deacons</t>
  </si>
  <si>
    <t>Need to Advertise more</t>
  </si>
  <si>
    <t>ELCA Average</t>
  </si>
  <si>
    <t>Hold at 10%</t>
  </si>
  <si>
    <t>Benevolence</t>
  </si>
  <si>
    <t>10% Benevolence</t>
  </si>
  <si>
    <t>Per Cheryl:  ELC Board of Pensions</t>
  </si>
  <si>
    <t>Estimate from Cheryl</t>
  </si>
  <si>
    <t>Church Membership</t>
  </si>
  <si>
    <t>Clearing Account</t>
  </si>
  <si>
    <t>Chaperons for Trips</t>
  </si>
  <si>
    <t>Church Membership Activities</t>
  </si>
  <si>
    <t>Advertising-Media (Newspaper)</t>
  </si>
  <si>
    <t>College Leaders in Christ (YAHOO)</t>
  </si>
  <si>
    <t>Financial Secretary</t>
  </si>
  <si>
    <t>From Cheryl</t>
  </si>
  <si>
    <t>2012 Budget final</t>
  </si>
  <si>
    <t>2011 Budget (first changes from Dec Council</t>
  </si>
  <si>
    <t>Variance %</t>
  </si>
  <si>
    <t>Variance $</t>
  </si>
  <si>
    <t>NOTES on Variances</t>
  </si>
  <si>
    <t>Plugged difference</t>
  </si>
  <si>
    <t>Reduced per Luanne (1/17/12)</t>
  </si>
  <si>
    <t>From Cheryl (1/18/12)</t>
  </si>
  <si>
    <t>No Increase planned per Luanne (1/17/12)</t>
  </si>
  <si>
    <t>Per Cheryl:  based on no increase in salary (1/17/12)</t>
  </si>
  <si>
    <t>Per Cheryl:  reduced to reflect actual average hours</t>
  </si>
  <si>
    <t>2010</t>
  </si>
  <si>
    <t>Nov YTD</t>
  </si>
  <si>
    <t>2011 Actuals</t>
  </si>
  <si>
    <t>Full Year Budget</t>
  </si>
  <si>
    <t>Full Year Actual</t>
  </si>
  <si>
    <t>2012 Full Year Budget</t>
  </si>
  <si>
    <t>January</t>
  </si>
  <si>
    <t># of Months for Pacing</t>
  </si>
  <si>
    <t>February</t>
  </si>
  <si>
    <t>March</t>
  </si>
  <si>
    <t>April</t>
  </si>
  <si>
    <t>May</t>
  </si>
  <si>
    <t>June</t>
  </si>
  <si>
    <t>July</t>
  </si>
  <si>
    <t>August</t>
  </si>
  <si>
    <t>September</t>
  </si>
  <si>
    <t>October</t>
  </si>
  <si>
    <t>November</t>
  </si>
  <si>
    <t>December</t>
  </si>
  <si>
    <t>Check</t>
  </si>
  <si>
    <t>2012 Actuals</t>
  </si>
  <si>
    <t>Month</t>
  </si>
  <si>
    <t>Current Year</t>
  </si>
  <si>
    <t>January = 1</t>
  </si>
  <si>
    <t>Actual</t>
  </si>
  <si>
    <t>Budget</t>
  </si>
  <si>
    <t>Prior Year</t>
  </si>
  <si>
    <t>Actual vs Prior Year</t>
  </si>
  <si>
    <t>January YTD</t>
  </si>
  <si>
    <t>February YTD</t>
  </si>
  <si>
    <t>March YTD</t>
  </si>
  <si>
    <t>April YTD</t>
  </si>
  <si>
    <t>May YTD</t>
  </si>
  <si>
    <t>June YTD</t>
  </si>
  <si>
    <t>July YTD</t>
  </si>
  <si>
    <t>August YTD</t>
  </si>
  <si>
    <t>September YTD</t>
  </si>
  <si>
    <t>October YTD</t>
  </si>
  <si>
    <t>November YTD</t>
  </si>
  <si>
    <t>December YTD or Full Year</t>
  </si>
  <si>
    <t>Remainder of Year</t>
  </si>
  <si>
    <t>Budget $ Remaining</t>
  </si>
  <si>
    <t>% of Total Budget Remaining</t>
  </si>
  <si>
    <t>Saturday Nite Lite and Reflection Music</t>
  </si>
  <si>
    <t>Change to Fav / Unfav</t>
  </si>
  <si>
    <t>Variance
Fav / -Unfav</t>
  </si>
  <si>
    <t>The Finance Committee</t>
  </si>
  <si>
    <t>Respectfully submitted by:</t>
  </si>
  <si>
    <t>John Hewitt (Chair), Mary Hauch, Dawn Jacobson, and Tammy Rosenberg</t>
  </si>
  <si>
    <t>In addition the Total Expenses through June show we have spent $10.7k or 3.7% less then we had budgeted.  The net Income less Expense is that we are very close to budget ($163 unfavorable).  While we have been watchful of</t>
  </si>
  <si>
    <t xml:space="preserve">Below you will find a summary of where we are as a church through June.  You can see that our total Income is $10.8k or 3.8% below budget (this is the same number that is reported weekly in the announcements). </t>
  </si>
  <si>
    <t>our spending and still continue to pay our committed benevolence, as with last year, it may not be possible to continue to do so if the income is not more favorable throughout the remaining of the year.  We ask that each</t>
  </si>
  <si>
    <t>family review your commitments to the church and your next six month giving plan with prayerful consideration.  We will continue to update you in September, but feel free to contact us should you have any questions throughout the year.</t>
  </si>
  <si>
    <t>JUNE 2012 FINANCIAL STATUS UPDATE:</t>
  </si>
  <si>
    <t>Comments</t>
  </si>
  <si>
    <t>What additional spending is expected for Maintenance Contracts.  If trend continues we would be $1,000 over budget.
What expenses do the Trustee's expect for the remainder of the year on their budget line items?</t>
  </si>
  <si>
    <t>July:  Library is done spending for the year.  She is aware of her budget.</t>
  </si>
  <si>
    <t>July:  Worship Supplies could be pacing.</t>
  </si>
  <si>
    <t>July:  Membership is planning something to make up for the overage.</t>
  </si>
  <si>
    <t>July:  Synod Asssembly late registration fees.</t>
  </si>
  <si>
    <t>July:  Is the favorability in FICA/MED pacing?</t>
  </si>
  <si>
    <t>July:  Increase of $159 unfavorable is real based on bill.</t>
  </si>
  <si>
    <t>July:  Extra stuff was purchased and also assumed Dori's phone.</t>
  </si>
  <si>
    <t>July:  Charge for changing services and also were charged wrong amount.  This has been corrected.</t>
  </si>
  <si>
    <t>July:  Nursery, overage due to Mikayla working when shouldn't - is this for current year?  Big hits is April and May.</t>
  </si>
  <si>
    <t xml:space="preserve">July:  Flowers are over due to Dec billing arriving in Jan. </t>
  </si>
  <si>
    <t>July:  Financial Secretary current workload has increased.
July:  Custodians question is budget included temp agnecy changes for Nathan and Rebecca?  Could be reason for overage.</t>
  </si>
  <si>
    <t>OVERALL:  Income trends are continue unfavorable.  For expenses some items are real overages (see comments) and other favorable which could be real or only pacing.  Need to continue to watch this.</t>
  </si>
  <si>
    <t>NOTES (From last year budget process)</t>
  </si>
  <si>
    <t>2013 Budget</t>
  </si>
  <si>
    <t>Books &amp; study materials</t>
  </si>
  <si>
    <t>Herk/Mike Dry Sound ($20/service) - $2520 through October, Microphone batteries ($200), Christ in our home ($700), Video and Song Licenses ($250), Bubbles</t>
  </si>
  <si>
    <t>$450 donor.   Was part of Deacons in 2011</t>
  </si>
  <si>
    <t>Copies, Copies, Janice's Computer</t>
  </si>
  <si>
    <t>$55.30/week plus monthly fee for alarm</t>
  </si>
  <si>
    <t>NA</t>
  </si>
  <si>
    <t>Previously Paid by Donor though 2011 (52 weeks x $50)  Tammy to talk to donor for $1,300</t>
  </si>
  <si>
    <t>Janice/Pastor/Dori/Marsh $220/month</t>
  </si>
  <si>
    <t>Maint.  Supplies</t>
  </si>
  <si>
    <t>Total</t>
  </si>
  <si>
    <t>New Year Salary Estimate</t>
  </si>
  <si>
    <t>Current Year Salary</t>
  </si>
  <si>
    <t>Hours</t>
  </si>
  <si>
    <t>Per Hour</t>
  </si>
  <si>
    <t>Salary Calc Estimate</t>
  </si>
  <si>
    <t>Salary Increase</t>
  </si>
  <si>
    <t>Staff:  Music</t>
  </si>
  <si>
    <t>Simply Giving $15/month and $80 for Safety deposit box move to bank fees, Sam's Membership $110</t>
  </si>
  <si>
    <t>Hours and rate/hour from Cheryl by person.</t>
  </si>
  <si>
    <t>17 hours/week for 52 weeks</t>
  </si>
  <si>
    <t>Dell ($7.25/hr @ 8 hrs/wk); Rebecca ($10.00/hr @ 15 hr/wk for 9 months and 9 hr/wk for 3 months); John ($12.38/hr @ 8 hr/week); and ? ($11.59/hr @ 24 hr/wk)</t>
  </si>
  <si>
    <t>30 hours/week for 52 weeks</t>
  </si>
  <si>
    <t>Plugged the extra here for now.</t>
  </si>
  <si>
    <t>Fax machine</t>
  </si>
  <si>
    <t>Staff:  Some Music</t>
  </si>
  <si>
    <t>+$42.04/month for Internet and $298/Month for Phone (was $270/month)</t>
  </si>
  <si>
    <t>Needs to be $1,000 more if we want $840 Window cleaning two times per year</t>
  </si>
  <si>
    <t>$250/month</t>
  </si>
  <si>
    <t>Plugged 1/2 of the difference needed</t>
  </si>
  <si>
    <t>Get back to $5,000 or more with any excess</t>
  </si>
  <si>
    <t>2 Donors for 2012  - need to talk to donors to see about 2013.</t>
  </si>
  <si>
    <t>2013 Actuals</t>
  </si>
  <si>
    <t>2014 Budget vs 2013 Budget</t>
  </si>
  <si>
    <t>2014 Budget</t>
  </si>
  <si>
    <t>2014 Budget vs Prior Year</t>
  </si>
  <si>
    <r>
      <rPr>
        <b/>
        <sz val="11"/>
        <color theme="3" tint="0.39997558519241921"/>
        <rFont val="Calibri"/>
        <family val="2"/>
        <scheme val="minor"/>
      </rPr>
      <t>2012</t>
    </r>
    <r>
      <rPr>
        <b/>
        <sz val="11"/>
        <color theme="1"/>
        <rFont val="Calibri"/>
        <family val="2"/>
        <scheme val="minor"/>
      </rPr>
      <t xml:space="preserve"> Prior Year Actual</t>
    </r>
  </si>
  <si>
    <r>
      <rPr>
        <b/>
        <sz val="11"/>
        <color theme="3" tint="0.39997558519241921"/>
        <rFont val="Calibri"/>
        <family val="2"/>
        <scheme val="minor"/>
      </rPr>
      <t>2011</t>
    </r>
    <r>
      <rPr>
        <b/>
        <sz val="11"/>
        <color theme="1"/>
        <rFont val="Calibri"/>
        <family val="2"/>
        <scheme val="minor"/>
      </rPr>
      <t xml:space="preserve"> Actual</t>
    </r>
  </si>
  <si>
    <t>2010 Actual</t>
  </si>
  <si>
    <t>2013 Year to Date (YTD)</t>
  </si>
  <si>
    <t>$866/Month for 2014</t>
  </si>
  <si>
    <t>Maintenance Contracts  (Recycle, Garbage, Fire Extinquishers,  Elevator, phone lines, pest control)</t>
  </si>
  <si>
    <t>$35/month per Cheryl</t>
  </si>
  <si>
    <t>Added Chaparon trips exp</t>
  </si>
  <si>
    <t>Staff Contingency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</si>
</sst>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0.000%"/>
    <numFmt numFmtId="168" formatCode="&quot;$&quot;#,##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9"/>
      <color indexed="81"/>
      <name val="Tahoma"/>
      <family val="2"/>
    </font>
    <font>
      <b/>
      <sz val="9"/>
      <color indexed="81"/>
      <name val="Tahoma"/>
      <family val="2"/>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sz val="14"/>
      <color theme="1"/>
      <name val="Calibri"/>
      <family val="2"/>
      <scheme val="minor"/>
    </font>
    <font>
      <b/>
      <u val="singleAccounting"/>
      <sz val="14"/>
      <color theme="1"/>
      <name val="Calibri"/>
      <family val="2"/>
      <scheme val="minor"/>
    </font>
    <font>
      <b/>
      <sz val="11"/>
      <color theme="3" tint="0.39997558519241921"/>
      <name val="Calibri"/>
      <family val="2"/>
      <scheme val="minor"/>
    </font>
    <font>
      <b/>
      <sz val="11"/>
      <color rgb="FFFF0000"/>
      <name val="Calibri"/>
      <family val="2"/>
      <scheme val="minor"/>
    </font>
    <font>
      <sz val="11"/>
      <color theme="3" tint="0.39997558519241921"/>
      <name val="Calibri"/>
      <family val="2"/>
      <scheme val="minor"/>
    </font>
    <font>
      <sz val="11"/>
      <color theme="5" tint="-0.249977111117893"/>
      <name val="Calibri"/>
      <family val="2"/>
      <scheme val="minor"/>
    </font>
    <font>
      <sz val="11"/>
      <color rgb="FFFF0000"/>
      <name val="Calibri"/>
      <family val="2"/>
      <scheme val="minor"/>
    </font>
    <font>
      <sz val="11"/>
      <color rgb="FF0000FF"/>
      <name val="Calibri"/>
      <family val="2"/>
      <scheme val="minor"/>
    </font>
  </fonts>
  <fills count="10">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52">
    <xf numFmtId="0" fontId="0" fillId="0" borderId="0" xfId="0"/>
    <xf numFmtId="164" fontId="0" fillId="0" borderId="0" xfId="1" applyNumberFormat="1" applyFont="1" applyAlignment="1">
      <alignment vertical="center"/>
    </xf>
    <xf numFmtId="164" fontId="2" fillId="0" borderId="1" xfId="1" applyNumberFormat="1" applyFont="1" applyBorder="1" applyAlignment="1">
      <alignment horizontal="center" vertical="center" wrapText="1"/>
    </xf>
    <xf numFmtId="164" fontId="2" fillId="0" borderId="2"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0" fillId="0" borderId="0" xfId="1" applyNumberFormat="1" applyFont="1" applyAlignment="1">
      <alignment horizontal="center" vertical="center" wrapText="1"/>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0" borderId="0" xfId="1" applyNumberFormat="1" applyFont="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7" fontId="0" fillId="0" borderId="0" xfId="2" applyNumberFormat="1" applyFont="1" applyAlignment="1">
      <alignment horizontal="center" vertical="center" wrapText="1"/>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4" fontId="4" fillId="8" borderId="0" xfId="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4" fillId="3" borderId="0" xfId="1" applyNumberFormat="1" applyFont="1" applyFill="1" applyAlignment="1">
      <alignment vertical="center"/>
    </xf>
    <xf numFmtId="164" fontId="0" fillId="3" borderId="0" xfId="1" applyNumberFormat="1" applyFont="1" applyFill="1" applyAlignment="1">
      <alignment vertical="center"/>
    </xf>
    <xf numFmtId="164" fontId="3"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4" fontId="9" fillId="0" borderId="0" xfId="1" applyNumberFormat="1" applyFont="1" applyAlignment="1">
      <alignment vertical="center"/>
    </xf>
    <xf numFmtId="165" fontId="2" fillId="4" borderId="0" xfId="2" applyNumberFormat="1" applyFont="1" applyFill="1" applyAlignment="1">
      <alignment horizontal="left" vertical="center"/>
    </xf>
    <xf numFmtId="9" fontId="9" fillId="0" borderId="0" xfId="2" applyFont="1" applyAlignment="1">
      <alignment vertical="center"/>
    </xf>
    <xf numFmtId="164" fontId="0" fillId="0" borderId="0" xfId="1" applyNumberFormat="1" applyFont="1" applyAlignment="1">
      <alignment horizontal="center" vertical="center" wrapText="1"/>
    </xf>
    <xf numFmtId="164" fontId="3"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3" borderId="0" xfId="1" applyNumberFormat="1" applyFont="1" applyFill="1" applyAlignment="1">
      <alignment vertical="center"/>
    </xf>
    <xf numFmtId="164" fontId="9" fillId="0" borderId="0" xfId="1" applyNumberFormat="1" applyFont="1" applyAlignment="1">
      <alignment vertical="center"/>
    </xf>
    <xf numFmtId="164" fontId="2" fillId="2" borderId="0" xfId="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4" fillId="3" borderId="0" xfId="1" applyNumberFormat="1" applyFont="1" applyFill="1" applyAlignment="1">
      <alignment horizontal="center" vertical="center"/>
    </xf>
    <xf numFmtId="164" fontId="3" fillId="3" borderId="0" xfId="1" applyNumberFormat="1" applyFont="1" applyFill="1" applyAlignment="1">
      <alignment horizontal="center" vertical="center"/>
    </xf>
    <xf numFmtId="9" fontId="9" fillId="0" borderId="0" xfId="2" applyFont="1" applyAlignment="1">
      <alignment horizontal="center" vertical="center"/>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2" fillId="7" borderId="0" xfId="1" applyNumberFormat="1" applyFont="1" applyFill="1" applyAlignment="1">
      <alignment horizontal="center" vertical="center"/>
    </xf>
    <xf numFmtId="164" fontId="1"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44" fontId="2" fillId="0" borderId="1" xfId="1" applyNumberFormat="1" applyFont="1" applyBorder="1" applyAlignment="1">
      <alignment horizontal="center" vertical="center" wrapText="1"/>
    </xf>
    <xf numFmtId="44" fontId="2" fillId="0" borderId="0" xfId="1" applyNumberFormat="1" applyFont="1" applyBorder="1" applyAlignment="1">
      <alignment horizontal="center" vertical="center" wrapText="1"/>
    </xf>
    <xf numFmtId="44" fontId="3" fillId="0" borderId="0" xfId="1" applyNumberFormat="1" applyFont="1" applyAlignment="1">
      <alignment vertical="center"/>
    </xf>
    <xf numFmtId="44" fontId="2" fillId="2" borderId="0" xfId="1" applyNumberFormat="1" applyFont="1" applyFill="1" applyAlignment="1">
      <alignment vertical="center"/>
    </xf>
    <xf numFmtId="44" fontId="2" fillId="8" borderId="0" xfId="1" applyNumberFormat="1" applyFont="1" applyFill="1" applyAlignment="1">
      <alignment vertical="center"/>
    </xf>
    <xf numFmtId="44" fontId="2" fillId="0" borderId="0" xfId="1" applyNumberFormat="1" applyFont="1" applyFill="1" applyAlignment="1">
      <alignment vertical="center"/>
    </xf>
    <xf numFmtId="44" fontId="2" fillId="3" borderId="0" xfId="1" applyNumberFormat="1" applyFont="1" applyFill="1" applyAlignment="1">
      <alignment vertical="center"/>
    </xf>
    <xf numFmtId="44" fontId="4" fillId="3" borderId="0" xfId="1" applyNumberFormat="1" applyFont="1" applyFill="1" applyAlignment="1">
      <alignment vertical="center"/>
    </xf>
    <xf numFmtId="44" fontId="3" fillId="3" borderId="0" xfId="1" applyNumberFormat="1" applyFont="1" applyFill="1" applyAlignment="1">
      <alignment vertical="center"/>
    </xf>
    <xf numFmtId="44" fontId="9" fillId="0" borderId="0" xfId="2" applyNumberFormat="1" applyFont="1" applyAlignment="1">
      <alignment vertical="center"/>
    </xf>
    <xf numFmtId="44" fontId="9" fillId="0" borderId="0" xfId="1" applyNumberFormat="1" applyFont="1" applyAlignment="1">
      <alignment vertical="center"/>
    </xf>
    <xf numFmtId="44" fontId="2" fillId="4" borderId="0" xfId="1" applyNumberFormat="1" applyFont="1" applyFill="1" applyAlignment="1">
      <alignment vertical="center"/>
    </xf>
    <xf numFmtId="44" fontId="2" fillId="5" borderId="0" xfId="1" applyNumberFormat="1" applyFont="1" applyFill="1" applyAlignment="1">
      <alignment vertical="center"/>
    </xf>
    <xf numFmtId="44" fontId="2" fillId="6" borderId="0" xfId="1" applyNumberFormat="1" applyFont="1" applyFill="1" applyAlignment="1">
      <alignment vertical="center"/>
    </xf>
    <xf numFmtId="44" fontId="2" fillId="7" borderId="0" xfId="1" applyNumberFormat="1" applyFont="1" applyFill="1" applyAlignment="1">
      <alignment vertical="center"/>
    </xf>
    <xf numFmtId="44" fontId="4" fillId="8" borderId="0" xfId="1" applyNumberFormat="1" applyFont="1" applyFill="1" applyAlignment="1">
      <alignment vertical="center"/>
    </xf>
    <xf numFmtId="44" fontId="10" fillId="3" borderId="0" xfId="1" applyNumberFormat="1" applyFont="1" applyFill="1" applyAlignment="1">
      <alignment vertical="center"/>
    </xf>
    <xf numFmtId="44" fontId="9" fillId="3" borderId="0" xfId="1" applyNumberFormat="1" applyFont="1" applyFill="1" applyAlignment="1">
      <alignment vertical="center"/>
    </xf>
    <xf numFmtId="1" fontId="0" fillId="0" borderId="0" xfId="3" applyNumberFormat="1" applyFont="1" applyAlignment="1">
      <alignment horizontal="center" vertical="center"/>
    </xf>
    <xf numFmtId="1" fontId="2" fillId="0" borderId="0" xfId="3" applyNumberFormat="1" applyFont="1" applyAlignment="1">
      <alignment horizontal="center" vertical="center" wrapText="1"/>
    </xf>
    <xf numFmtId="1" fontId="2" fillId="0" borderId="0" xfId="3" applyNumberFormat="1" applyFont="1" applyAlignment="1">
      <alignment horizontal="center" vertical="center"/>
    </xf>
    <xf numFmtId="1" fontId="2" fillId="2" borderId="0" xfId="3" applyNumberFormat="1" applyFont="1" applyFill="1" applyAlignment="1">
      <alignment horizontal="center" vertical="center"/>
    </xf>
    <xf numFmtId="1" fontId="2" fillId="8" borderId="0" xfId="3" applyNumberFormat="1" applyFont="1" applyFill="1" applyAlignment="1">
      <alignment horizontal="center" vertical="center"/>
    </xf>
    <xf numFmtId="1" fontId="2" fillId="0" borderId="0" xfId="3" applyNumberFormat="1" applyFont="1" applyFill="1" applyAlignment="1">
      <alignment horizontal="center" vertical="center"/>
    </xf>
    <xf numFmtId="1" fontId="2" fillId="3" borderId="0" xfId="3" applyNumberFormat="1" applyFont="1" applyFill="1" applyAlignment="1">
      <alignment horizontal="center" vertical="center"/>
    </xf>
    <xf numFmtId="1" fontId="0" fillId="3" borderId="0" xfId="3" applyNumberFormat="1" applyFont="1" applyFill="1" applyAlignment="1">
      <alignment horizontal="center" vertical="center"/>
    </xf>
    <xf numFmtId="1" fontId="1" fillId="3" borderId="0" xfId="3" applyNumberFormat="1" applyFont="1" applyFill="1" applyAlignment="1">
      <alignment horizontal="center" vertical="center"/>
    </xf>
    <xf numFmtId="1" fontId="2" fillId="4" borderId="0" xfId="3" applyNumberFormat="1" applyFont="1" applyFill="1" applyAlignment="1">
      <alignment horizontal="center" vertical="center"/>
    </xf>
    <xf numFmtId="1" fontId="2" fillId="5" borderId="0" xfId="3" applyNumberFormat="1" applyFont="1" applyFill="1" applyAlignment="1">
      <alignment horizontal="center" vertical="center"/>
    </xf>
    <xf numFmtId="1" fontId="2" fillId="6" borderId="0" xfId="3" applyNumberFormat="1" applyFont="1" applyFill="1" applyAlignment="1">
      <alignment horizontal="center" vertical="center"/>
    </xf>
    <xf numFmtId="1" fontId="0" fillId="7" borderId="0" xfId="3" applyNumberFormat="1" applyFont="1" applyFill="1" applyAlignment="1">
      <alignment horizontal="center" vertical="center"/>
    </xf>
    <xf numFmtId="1" fontId="3" fillId="0" borderId="0" xfId="3" applyNumberFormat="1" applyFont="1" applyAlignment="1">
      <alignment horizontal="center" vertical="center"/>
    </xf>
    <xf numFmtId="1" fontId="9" fillId="0" borderId="0" xfId="3" applyNumberFormat="1" applyFont="1" applyAlignment="1">
      <alignment horizontal="center" vertical="center"/>
    </xf>
    <xf numFmtId="1" fontId="10" fillId="3" borderId="0" xfId="3" applyNumberFormat="1" applyFont="1" applyFill="1" applyAlignment="1">
      <alignment horizontal="center" vertical="center"/>
    </xf>
    <xf numFmtId="44" fontId="10" fillId="8" borderId="0" xfId="1" applyNumberFormat="1" applyFont="1" applyFill="1" applyAlignment="1">
      <alignment vertical="center"/>
    </xf>
    <xf numFmtId="0" fontId="11" fillId="0" borderId="0" xfId="0" applyFont="1"/>
    <xf numFmtId="0" fontId="12"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8" fontId="9" fillId="0" borderId="0" xfId="1" applyNumberFormat="1" applyFont="1" applyAlignment="1">
      <alignment vertical="center"/>
    </xf>
    <xf numFmtId="168" fontId="2" fillId="2" borderId="0" xfId="1" applyNumberFormat="1" applyFont="1" applyFill="1" applyAlignment="1">
      <alignment vertical="center"/>
    </xf>
    <xf numFmtId="168" fontId="0" fillId="0" borderId="0" xfId="1" applyNumberFormat="1" applyFont="1" applyAlignment="1">
      <alignment vertical="center"/>
    </xf>
    <xf numFmtId="168" fontId="3" fillId="0" borderId="0" xfId="1" applyNumberFormat="1" applyFont="1" applyAlignment="1">
      <alignment vertical="center"/>
    </xf>
    <xf numFmtId="168" fontId="2" fillId="8" borderId="0" xfId="1" applyNumberFormat="1" applyFont="1" applyFill="1" applyAlignment="1">
      <alignment vertical="center"/>
    </xf>
    <xf numFmtId="168" fontId="10" fillId="8" borderId="0" xfId="1" applyNumberFormat="1" applyFont="1" applyFill="1" applyAlignment="1">
      <alignment vertical="center"/>
    </xf>
    <xf numFmtId="168" fontId="2" fillId="0" borderId="0" xfId="1" applyNumberFormat="1" applyFont="1" applyFill="1" applyAlignment="1">
      <alignment vertical="center"/>
    </xf>
    <xf numFmtId="168" fontId="4" fillId="0" borderId="0" xfId="1" applyNumberFormat="1" applyFont="1" applyFill="1" applyAlignment="1">
      <alignment vertical="center"/>
    </xf>
    <xf numFmtId="168" fontId="2" fillId="3" borderId="0" xfId="1" applyNumberFormat="1" applyFont="1" applyFill="1" applyAlignment="1">
      <alignment vertical="center"/>
    </xf>
    <xf numFmtId="168" fontId="10" fillId="3" borderId="0" xfId="1" applyNumberFormat="1" applyFont="1" applyFill="1" applyAlignment="1">
      <alignment vertical="center"/>
    </xf>
    <xf numFmtId="168" fontId="9" fillId="0" borderId="0" xfId="2" applyNumberFormat="1" applyFont="1" applyAlignment="1">
      <alignment vertical="center"/>
    </xf>
    <xf numFmtId="168" fontId="2" fillId="4" borderId="0" xfId="1" applyNumberFormat="1" applyFont="1" applyFill="1" applyAlignment="1">
      <alignment vertical="center"/>
    </xf>
    <xf numFmtId="168" fontId="2" fillId="5" borderId="0" xfId="1" applyNumberFormat="1" applyFont="1" applyFill="1" applyAlignment="1">
      <alignment vertical="center"/>
    </xf>
    <xf numFmtId="168" fontId="2" fillId="6" borderId="0" xfId="1" applyNumberFormat="1" applyFont="1" applyFill="1" applyAlignment="1">
      <alignment vertical="center"/>
    </xf>
    <xf numFmtId="168" fontId="2" fillId="7" borderId="0" xfId="1" applyNumberFormat="1" applyFont="1" applyFill="1" applyAlignment="1">
      <alignment vertical="center"/>
    </xf>
    <xf numFmtId="5" fontId="9" fillId="0" borderId="0" xfId="1" applyNumberFormat="1" applyFont="1" applyAlignment="1">
      <alignment vertical="center"/>
    </xf>
    <xf numFmtId="5" fontId="2" fillId="2" borderId="0" xfId="1" applyNumberFormat="1" applyFont="1" applyFill="1" applyAlignment="1">
      <alignment vertical="center"/>
    </xf>
    <xf numFmtId="5" fontId="0" fillId="0" borderId="0" xfId="1" applyNumberFormat="1" applyFont="1" applyAlignment="1">
      <alignment vertical="center"/>
    </xf>
    <xf numFmtId="5" fontId="10" fillId="8" borderId="0" xfId="1" applyNumberFormat="1" applyFont="1" applyFill="1" applyAlignment="1">
      <alignment vertical="center"/>
    </xf>
    <xf numFmtId="5" fontId="4" fillId="0" borderId="0" xfId="1" applyNumberFormat="1" applyFont="1" applyFill="1" applyAlignment="1">
      <alignment vertical="center"/>
    </xf>
    <xf numFmtId="5" fontId="2" fillId="3" borderId="0" xfId="1" applyNumberFormat="1" applyFont="1" applyFill="1" applyAlignment="1">
      <alignment vertical="center"/>
    </xf>
    <xf numFmtId="5" fontId="10" fillId="3" borderId="0" xfId="1" applyNumberFormat="1" applyFont="1" applyFill="1" applyAlignment="1">
      <alignment vertical="center"/>
    </xf>
    <xf numFmtId="5" fontId="2" fillId="4" borderId="0" xfId="1" applyNumberFormat="1" applyFont="1" applyFill="1" applyAlignment="1">
      <alignment vertical="center"/>
    </xf>
    <xf numFmtId="5" fontId="2" fillId="5" borderId="0" xfId="1" applyNumberFormat="1" applyFont="1" applyFill="1" applyAlignment="1">
      <alignment vertical="center"/>
    </xf>
    <xf numFmtId="5" fontId="2" fillId="0" borderId="0" xfId="1" applyNumberFormat="1" applyFont="1" applyFill="1" applyAlignment="1">
      <alignment vertical="center"/>
    </xf>
    <xf numFmtId="5" fontId="2" fillId="6" borderId="0" xfId="1" applyNumberFormat="1" applyFont="1" applyFill="1" applyAlignment="1">
      <alignment vertical="center"/>
    </xf>
    <xf numFmtId="5" fontId="2" fillId="7" borderId="0" xfId="1" applyNumberFormat="1" applyFont="1" applyFill="1" applyAlignment="1">
      <alignment vertical="center"/>
    </xf>
    <xf numFmtId="44" fontId="2" fillId="0" borderId="7" xfId="1" applyNumberFormat="1" applyFont="1" applyBorder="1" applyAlignment="1">
      <alignment horizontal="center" vertical="center" wrapText="1"/>
    </xf>
    <xf numFmtId="7" fontId="2" fillId="0" borderId="0" xfId="1" applyNumberFormat="1" applyFont="1" applyBorder="1" applyAlignment="1">
      <alignment horizontal="center" vertical="center" wrapText="1"/>
    </xf>
    <xf numFmtId="7" fontId="0" fillId="0" borderId="0" xfId="1" applyNumberFormat="1" applyFont="1" applyAlignment="1">
      <alignment vertical="center"/>
    </xf>
    <xf numFmtId="7" fontId="3" fillId="0" borderId="0" xfId="1" applyNumberFormat="1" applyFont="1" applyAlignment="1">
      <alignment vertical="center"/>
    </xf>
    <xf numFmtId="7" fontId="9" fillId="0" borderId="0" xfId="1" applyNumberFormat="1" applyFont="1" applyAlignment="1">
      <alignment vertical="center"/>
    </xf>
    <xf numFmtId="7" fontId="2" fillId="2" borderId="0" xfId="1" applyNumberFormat="1" applyFont="1" applyFill="1" applyAlignment="1">
      <alignment vertical="center"/>
    </xf>
    <xf numFmtId="7" fontId="4" fillId="8" borderId="0" xfId="1" applyNumberFormat="1" applyFont="1" applyFill="1" applyAlignment="1">
      <alignment vertical="center"/>
    </xf>
    <xf numFmtId="7" fontId="2" fillId="8" borderId="0" xfId="1" applyNumberFormat="1" applyFont="1" applyFill="1" applyAlignment="1">
      <alignment vertical="center"/>
    </xf>
    <xf numFmtId="7" fontId="10" fillId="8" borderId="0" xfId="1" applyNumberFormat="1" applyFont="1" applyFill="1" applyAlignment="1">
      <alignment vertical="center"/>
    </xf>
    <xf numFmtId="7" fontId="2" fillId="0" borderId="0" xfId="1" applyNumberFormat="1" applyFont="1" applyFill="1" applyAlignment="1">
      <alignment vertical="center"/>
    </xf>
    <xf numFmtId="7" fontId="2" fillId="3" borderId="0" xfId="1" applyNumberFormat="1" applyFont="1" applyFill="1" applyAlignment="1">
      <alignment vertical="center"/>
    </xf>
    <xf numFmtId="7" fontId="3" fillId="3" borderId="0" xfId="1" applyNumberFormat="1" applyFont="1" applyFill="1" applyAlignment="1">
      <alignment vertical="center"/>
    </xf>
    <xf numFmtId="7" fontId="9" fillId="3" borderId="0" xfId="1" applyNumberFormat="1" applyFont="1" applyFill="1" applyAlignment="1">
      <alignment vertical="center"/>
    </xf>
    <xf numFmtId="7" fontId="9" fillId="0" borderId="0" xfId="2" applyNumberFormat="1" applyFont="1" applyAlignment="1">
      <alignment vertical="center"/>
    </xf>
    <xf numFmtId="7" fontId="2" fillId="4" borderId="0" xfId="1" applyNumberFormat="1" applyFont="1" applyFill="1" applyAlignment="1">
      <alignment vertical="center"/>
    </xf>
    <xf numFmtId="7" fontId="2" fillId="5" borderId="0" xfId="1" applyNumberFormat="1" applyFont="1" applyFill="1" applyAlignment="1">
      <alignment vertical="center"/>
    </xf>
    <xf numFmtId="7" fontId="2" fillId="6" borderId="0" xfId="1" applyNumberFormat="1" applyFont="1" applyFill="1" applyAlignment="1">
      <alignment vertical="center"/>
    </xf>
    <xf numFmtId="7" fontId="2" fillId="7" borderId="0" xfId="1" applyNumberFormat="1" applyFont="1" applyFill="1" applyAlignment="1">
      <alignment vertical="center"/>
    </xf>
    <xf numFmtId="165" fontId="10" fillId="8" borderId="0" xfId="2" applyNumberFormat="1" applyFont="1" applyFill="1" applyAlignment="1">
      <alignment horizontal="center" vertical="center"/>
    </xf>
    <xf numFmtId="165" fontId="10" fillId="3" borderId="0" xfId="2" applyNumberFormat="1" applyFont="1" applyFill="1" applyAlignment="1">
      <alignment horizontal="center" vertical="center"/>
    </xf>
    <xf numFmtId="164" fontId="5" fillId="0" borderId="0" xfId="1" applyNumberFormat="1" applyFont="1" applyAlignment="1"/>
    <xf numFmtId="164" fontId="2" fillId="0" borderId="4" xfId="1" applyNumberFormat="1" applyFont="1" applyBorder="1" applyAlignment="1">
      <alignment horizontal="center" vertical="center" wrapText="1"/>
    </xf>
    <xf numFmtId="164" fontId="2" fillId="0" borderId="6"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164" fontId="2" fillId="0" borderId="4" xfId="1" applyNumberFormat="1" applyFont="1" applyFill="1" applyBorder="1" applyAlignment="1">
      <alignment vertical="center"/>
    </xf>
    <xf numFmtId="164" fontId="2" fillId="0" borderId="6" xfId="1" applyNumberFormat="1" applyFont="1" applyFill="1" applyBorder="1" applyAlignment="1">
      <alignment vertical="center"/>
    </xf>
    <xf numFmtId="164" fontId="0" fillId="0" borderId="6" xfId="1" applyNumberFormat="1" applyFont="1" applyFill="1" applyBorder="1" applyAlignment="1">
      <alignment vertical="center"/>
    </xf>
    <xf numFmtId="168" fontId="2" fillId="0" borderId="6" xfId="1" applyNumberFormat="1" applyFont="1" applyFill="1" applyBorder="1" applyAlignment="1">
      <alignment vertical="center"/>
    </xf>
    <xf numFmtId="165" fontId="2" fillId="0" borderId="6" xfId="2" applyNumberFormat="1" applyFont="1" applyFill="1" applyBorder="1" applyAlignment="1">
      <alignment horizontal="center" vertical="center"/>
    </xf>
    <xf numFmtId="165" fontId="2" fillId="0" borderId="5" xfId="2" applyNumberFormat="1" applyFont="1" applyFill="1" applyBorder="1" applyAlignment="1">
      <alignment horizontal="center" vertical="center"/>
    </xf>
    <xf numFmtId="164" fontId="2" fillId="0" borderId="12" xfId="1" applyNumberFormat="1" applyFont="1" applyFill="1" applyBorder="1" applyAlignment="1">
      <alignment vertical="center"/>
    </xf>
    <xf numFmtId="164" fontId="0" fillId="0" borderId="0" xfId="1" applyNumberFormat="1" applyFont="1" applyFill="1" applyBorder="1" applyAlignment="1">
      <alignment vertical="center"/>
    </xf>
    <xf numFmtId="164" fontId="2" fillId="0" borderId="0" xfId="1" applyNumberFormat="1" applyFont="1" applyFill="1" applyBorder="1" applyAlignment="1">
      <alignment vertical="center"/>
    </xf>
    <xf numFmtId="168" fontId="2" fillId="0" borderId="0" xfId="1" applyNumberFormat="1" applyFont="1" applyFill="1" applyBorder="1" applyAlignment="1">
      <alignment vertical="center"/>
    </xf>
    <xf numFmtId="165" fontId="2" fillId="0" borderId="0" xfId="2" applyNumberFormat="1" applyFont="1" applyFill="1" applyBorder="1" applyAlignment="1">
      <alignment horizontal="center" vertical="center"/>
    </xf>
    <xf numFmtId="165" fontId="2" fillId="0" borderId="13" xfId="2" applyNumberFormat="1" applyFont="1" applyFill="1" applyBorder="1" applyAlignment="1">
      <alignment horizontal="center" vertical="center"/>
    </xf>
    <xf numFmtId="164" fontId="5" fillId="2" borderId="12" xfId="1" applyNumberFormat="1" applyFont="1" applyFill="1" applyBorder="1" applyAlignment="1">
      <alignment vertical="center"/>
    </xf>
    <xf numFmtId="164" fontId="2" fillId="2" borderId="0" xfId="1" applyNumberFormat="1" applyFont="1" applyFill="1" applyBorder="1" applyAlignment="1">
      <alignment vertical="center"/>
    </xf>
    <xf numFmtId="164" fontId="0" fillId="2" borderId="0" xfId="1" applyNumberFormat="1" applyFont="1" applyFill="1" applyBorder="1" applyAlignment="1">
      <alignment vertical="center"/>
    </xf>
    <xf numFmtId="168" fontId="2"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5" fontId="2" fillId="2" borderId="0" xfId="1" applyNumberFormat="1" applyFont="1" applyFill="1" applyBorder="1" applyAlignment="1">
      <alignment vertical="center"/>
    </xf>
    <xf numFmtId="165" fontId="2" fillId="2" borderId="13" xfId="2" applyNumberFormat="1" applyFont="1" applyFill="1" applyBorder="1" applyAlignment="1">
      <alignment horizontal="center" vertical="center"/>
    </xf>
    <xf numFmtId="164" fontId="2" fillId="0" borderId="12" xfId="1" applyNumberFormat="1" applyFont="1" applyBorder="1" applyAlignment="1">
      <alignment vertical="center"/>
    </xf>
    <xf numFmtId="164" fontId="0" fillId="0" borderId="0" xfId="1" applyNumberFormat="1" applyFont="1" applyBorder="1" applyAlignment="1">
      <alignment vertical="center"/>
    </xf>
    <xf numFmtId="168" fontId="0" fillId="0" borderId="0" xfId="1" applyNumberFormat="1" applyFont="1" applyBorder="1" applyAlignment="1">
      <alignment vertical="center"/>
    </xf>
    <xf numFmtId="164" fontId="0" fillId="0" borderId="0" xfId="1" applyNumberFormat="1" applyFont="1" applyBorder="1" applyAlignment="1">
      <alignment horizontal="center" vertical="center"/>
    </xf>
    <xf numFmtId="5" fontId="0" fillId="0" borderId="0" xfId="1" applyNumberFormat="1" applyFont="1" applyBorder="1" applyAlignment="1">
      <alignment vertical="center"/>
    </xf>
    <xf numFmtId="164" fontId="0" fillId="0" borderId="13" xfId="1" applyNumberFormat="1" applyFont="1" applyBorder="1" applyAlignment="1">
      <alignment horizontal="center" vertical="center"/>
    </xf>
    <xf numFmtId="164" fontId="5" fillId="0" borderId="14" xfId="1" applyNumberFormat="1" applyFont="1" applyFill="1" applyBorder="1" applyAlignment="1">
      <alignment vertical="center"/>
    </xf>
    <xf numFmtId="164" fontId="0" fillId="0" borderId="8" xfId="1" applyNumberFormat="1" applyFont="1" applyFill="1" applyBorder="1" applyAlignment="1">
      <alignment vertical="center"/>
    </xf>
    <xf numFmtId="168" fontId="2" fillId="0" borderId="8" xfId="1" applyNumberFormat="1" applyFont="1" applyFill="1" applyBorder="1" applyAlignment="1">
      <alignment vertical="center"/>
    </xf>
    <xf numFmtId="165" fontId="2" fillId="0" borderId="8" xfId="2" applyNumberFormat="1" applyFont="1" applyFill="1" applyBorder="1" applyAlignment="1">
      <alignment horizontal="center" vertical="center"/>
    </xf>
    <xf numFmtId="5" fontId="2" fillId="0" borderId="8" xfId="1" applyNumberFormat="1" applyFont="1" applyFill="1" applyBorder="1" applyAlignment="1">
      <alignment vertical="center"/>
    </xf>
    <xf numFmtId="165" fontId="2" fillId="0" borderId="15" xfId="2" applyNumberFormat="1" applyFont="1" applyFill="1" applyBorder="1" applyAlignment="1">
      <alignment horizontal="center" vertical="center"/>
    </xf>
    <xf numFmtId="164" fontId="13" fillId="0" borderId="0" xfId="1" applyNumberFormat="1" applyFont="1" applyAlignment="1">
      <alignment vertical="center"/>
    </xf>
    <xf numFmtId="164" fontId="13" fillId="0" borderId="0" xfId="1" applyNumberFormat="1" applyFont="1" applyAlignment="1"/>
    <xf numFmtId="164" fontId="13" fillId="0" borderId="0" xfId="1" applyNumberFormat="1" applyFont="1" applyAlignment="1">
      <alignment horizontal="center" vertical="center"/>
    </xf>
    <xf numFmtId="164" fontId="0" fillId="0" borderId="0" xfId="1" applyNumberFormat="1" applyFont="1" applyAlignment="1">
      <alignment vertical="top" wrapText="1"/>
    </xf>
    <xf numFmtId="164" fontId="0" fillId="0" borderId="0" xfId="1" applyNumberFormat="1" applyFont="1" applyAlignment="1">
      <alignment horizontal="left" vertical="top" wrapText="1"/>
    </xf>
    <xf numFmtId="164" fontId="2" fillId="0" borderId="7" xfId="1" applyNumberFormat="1" applyFont="1" applyBorder="1" applyAlignment="1">
      <alignment horizontal="center" vertical="center"/>
    </xf>
    <xf numFmtId="164" fontId="0" fillId="0" borderId="0" xfId="1" applyNumberFormat="1" applyFont="1" applyAlignment="1">
      <alignment vertical="center" wrapText="1"/>
    </xf>
    <xf numFmtId="164" fontId="9" fillId="0" borderId="0" xfId="1" applyNumberFormat="1" applyFont="1" applyAlignment="1">
      <alignment vertical="top" wrapText="1"/>
    </xf>
    <xf numFmtId="164" fontId="1" fillId="0" borderId="0" xfId="1" applyNumberFormat="1" applyFont="1" applyAlignment="1">
      <alignment vertical="top" wrapText="1"/>
    </xf>
    <xf numFmtId="164" fontId="10" fillId="8" borderId="0" xfId="1" applyNumberFormat="1" applyFont="1" applyFill="1" applyAlignment="1">
      <alignment vertical="center"/>
    </xf>
    <xf numFmtId="164" fontId="10" fillId="3" borderId="0" xfId="1" applyNumberFormat="1" applyFont="1" applyFill="1" applyAlignment="1">
      <alignment vertical="center"/>
    </xf>
    <xf numFmtId="164" fontId="9" fillId="3" borderId="0" xfId="1" applyNumberFormat="1" applyFont="1" applyFill="1" applyAlignment="1">
      <alignment vertical="center"/>
    </xf>
    <xf numFmtId="164" fontId="2" fillId="0" borderId="14" xfId="1" applyNumberFormat="1" applyFont="1" applyBorder="1" applyAlignment="1">
      <alignment horizontal="center" vertical="center" wrapText="1"/>
    </xf>
    <xf numFmtId="164" fontId="2" fillId="0" borderId="15" xfId="1" applyNumberFormat="1" applyFont="1" applyBorder="1" applyAlignment="1">
      <alignment horizontal="center" vertical="center" wrapText="1"/>
    </xf>
    <xf numFmtId="164" fontId="0" fillId="0" borderId="0" xfId="1" applyNumberFormat="1" applyFont="1" applyAlignment="1">
      <alignment horizontal="left" vertical="center" wrapText="1"/>
    </xf>
    <xf numFmtId="164" fontId="0" fillId="0" borderId="0" xfId="1" quotePrefix="1" applyNumberFormat="1" applyFont="1" applyAlignment="1">
      <alignment horizontal="center" vertical="center" wrapText="1"/>
    </xf>
    <xf numFmtId="165" fontId="16" fillId="7" borderId="0" xfId="2" applyNumberFormat="1" applyFont="1" applyFill="1" applyAlignment="1">
      <alignment horizontal="center" vertical="center"/>
    </xf>
    <xf numFmtId="164" fontId="3" fillId="0" borderId="0" xfId="1" applyNumberFormat="1" applyFont="1" applyFill="1" applyAlignment="1">
      <alignment vertical="center"/>
    </xf>
    <xf numFmtId="164" fontId="17" fillId="0" borderId="0" xfId="1" applyNumberFormat="1" applyFont="1" applyAlignment="1">
      <alignment vertical="center"/>
    </xf>
    <xf numFmtId="9" fontId="0" fillId="0" borderId="0" xfId="2" applyFont="1" applyAlignment="1">
      <alignment vertical="center"/>
    </xf>
    <xf numFmtId="165" fontId="0" fillId="0" borderId="0" xfId="2" applyNumberFormat="1" applyFont="1" applyAlignment="1">
      <alignment vertical="center"/>
    </xf>
    <xf numFmtId="166" fontId="0" fillId="0" borderId="0" xfId="1" applyNumberFormat="1" applyFont="1" applyAlignment="1">
      <alignment vertical="center"/>
    </xf>
    <xf numFmtId="43" fontId="0" fillId="0" borderId="0" xfId="3" applyFont="1" applyAlignment="1">
      <alignment vertical="center"/>
    </xf>
    <xf numFmtId="164" fontId="0" fillId="0" borderId="0" xfId="1" applyNumberFormat="1" applyFont="1" applyAlignment="1">
      <alignment horizontal="left" vertical="center" wrapText="1"/>
    </xf>
    <xf numFmtId="164" fontId="18" fillId="0" borderId="0" xfId="1" applyNumberFormat="1" applyFont="1" applyAlignment="1">
      <alignment vertical="center"/>
    </xf>
    <xf numFmtId="164" fontId="0" fillId="9" borderId="0" xfId="1" applyNumberFormat="1" applyFont="1" applyFill="1" applyAlignment="1">
      <alignment horizontal="center" vertical="center"/>
    </xf>
    <xf numFmtId="165" fontId="2" fillId="9" borderId="0" xfId="2" applyNumberFormat="1" applyFont="1" applyFill="1" applyAlignment="1">
      <alignment horizontal="center" vertical="center"/>
    </xf>
    <xf numFmtId="164" fontId="9" fillId="0" borderId="0" xfId="1" applyNumberFormat="1" applyFont="1" applyAlignment="1">
      <alignment vertical="center" wrapText="1"/>
    </xf>
    <xf numFmtId="164" fontId="0" fillId="0" borderId="0" xfId="1" applyNumberFormat="1" applyFont="1" applyAlignment="1">
      <alignment horizontal="center" vertical="center" wrapText="1"/>
    </xf>
    <xf numFmtId="164" fontId="19" fillId="0" borderId="0" xfId="1" applyNumberFormat="1" applyFont="1" applyAlignment="1">
      <alignment horizontal="center" vertical="center" wrapText="1"/>
    </xf>
    <xf numFmtId="44" fontId="19" fillId="0" borderId="0" xfId="1" applyNumberFormat="1" applyFont="1" applyAlignment="1">
      <alignment vertical="center"/>
    </xf>
    <xf numFmtId="44" fontId="20" fillId="0" borderId="0" xfId="1" applyNumberFormat="1" applyFont="1" applyAlignment="1">
      <alignment vertical="center"/>
    </xf>
    <xf numFmtId="164" fontId="0" fillId="0" borderId="0" xfId="1" applyNumberFormat="1" applyFont="1" applyAlignment="1">
      <alignment horizontal="left" vertical="center" wrapText="1"/>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0" fillId="0" borderId="0" xfId="1" applyNumberFormat="1" applyFont="1" applyAlignment="1">
      <alignment horizontal="center" vertical="center" wrapText="1"/>
    </xf>
    <xf numFmtId="164" fontId="0" fillId="0" borderId="0" xfId="1" applyNumberFormat="1" applyFont="1" applyAlignment="1">
      <alignment horizontal="center" wrapText="1"/>
    </xf>
    <xf numFmtId="164" fontId="0" fillId="0" borderId="0" xfId="1" applyNumberFormat="1" applyFont="1" applyAlignment="1">
      <alignment horizontal="left" vertical="top" wrapText="1"/>
    </xf>
    <xf numFmtId="164" fontId="9" fillId="0" borderId="0" xfId="1" applyNumberFormat="1" applyFont="1" applyAlignment="1">
      <alignment horizontal="left" vertical="top" wrapText="1"/>
    </xf>
    <xf numFmtId="44" fontId="4" fillId="7" borderId="1" xfId="1" applyNumberFormat="1" applyFont="1" applyFill="1" applyBorder="1" applyAlignment="1">
      <alignment horizontal="center" vertical="center"/>
    </xf>
    <xf numFmtId="44" fontId="4" fillId="7" borderId="2" xfId="1" applyNumberFormat="1" applyFont="1" applyFill="1" applyBorder="1" applyAlignment="1">
      <alignment horizontal="center" vertical="center"/>
    </xf>
    <xf numFmtId="44" fontId="4" fillId="7" borderId="3" xfId="1" applyNumberFormat="1" applyFont="1" applyFill="1" applyBorder="1" applyAlignment="1">
      <alignment horizontal="center" vertical="center"/>
    </xf>
    <xf numFmtId="44" fontId="10" fillId="7" borderId="1" xfId="1" applyNumberFormat="1" applyFont="1" applyFill="1" applyBorder="1" applyAlignment="1">
      <alignment horizontal="center" vertical="center"/>
    </xf>
    <xf numFmtId="44" fontId="10" fillId="7" borderId="2" xfId="1" applyNumberFormat="1" applyFont="1" applyFill="1" applyBorder="1" applyAlignment="1">
      <alignment horizontal="center" vertical="center"/>
    </xf>
    <xf numFmtId="44" fontId="10" fillId="7" borderId="3" xfId="1" applyNumberFormat="1" applyFont="1" applyFill="1" applyBorder="1" applyAlignment="1">
      <alignment horizontal="center" vertical="center"/>
    </xf>
    <xf numFmtId="164" fontId="6" fillId="0" borderId="0" xfId="1" applyNumberFormat="1" applyFont="1" applyAlignment="1">
      <alignment horizontal="center"/>
    </xf>
    <xf numFmtId="164" fontId="14" fillId="0" borderId="0" xfId="1" applyNumberFormat="1" applyFont="1" applyAlignment="1">
      <alignment horizontal="center" vertical="center"/>
    </xf>
    <xf numFmtId="164" fontId="13" fillId="0" borderId="0" xfId="1" applyNumberFormat="1" applyFont="1" applyAlignment="1">
      <alignment horizontal="left" vertical="center" wrapText="1"/>
    </xf>
    <xf numFmtId="164" fontId="13" fillId="0" borderId="0" xfId="1" applyNumberFormat="1" applyFont="1" applyAlignment="1">
      <alignment horizontal="left" vertical="top" wrapText="1"/>
    </xf>
    <xf numFmtId="164" fontId="2" fillId="2" borderId="9" xfId="1" quotePrefix="1" applyNumberFormat="1" applyFont="1" applyFill="1" applyBorder="1" applyAlignment="1">
      <alignment horizontal="center" vertical="center"/>
    </xf>
    <xf numFmtId="164" fontId="2" fillId="2" borderId="10" xfId="1" quotePrefix="1" applyNumberFormat="1" applyFont="1" applyFill="1" applyBorder="1" applyAlignment="1">
      <alignment horizontal="center" vertical="center"/>
    </xf>
    <xf numFmtId="44" fontId="2" fillId="7" borderId="1" xfId="1" applyNumberFormat="1" applyFont="1" applyFill="1" applyBorder="1" applyAlignment="1">
      <alignment horizontal="center" vertical="center"/>
    </xf>
    <xf numFmtId="44" fontId="2" fillId="7" borderId="2" xfId="1" applyNumberFormat="1" applyFont="1" applyFill="1" applyBorder="1" applyAlignment="1">
      <alignment horizontal="center" vertical="center"/>
    </xf>
    <xf numFmtId="44" fontId="2" fillId="7" borderId="3" xfId="1" applyNumberFormat="1" applyFont="1" applyFill="1" applyBorder="1" applyAlignment="1">
      <alignment horizontal="center" vertical="center"/>
    </xf>
    <xf numFmtId="164" fontId="19" fillId="0" borderId="0" xfId="1" applyNumberFormat="1" applyFont="1" applyAlignment="1">
      <alignmen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CCFFCC"/>
      <color rgb="FFFFFFCC"/>
      <color rgb="FFFFFF99"/>
      <color rgb="FF808000"/>
      <color rgb="FFCCCC00"/>
      <color rgb="FFFFCC66"/>
      <color rgb="FFB8CCE4"/>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D5"/>
  <sheetViews>
    <sheetView showGridLines="0" workbookViewId="0">
      <selection activeCell="C6" sqref="C6"/>
    </sheetView>
  </sheetViews>
  <sheetFormatPr defaultRowHeight="23.25" x14ac:dyDescent="0.35"/>
  <cols>
    <col min="1" max="1" width="23.140625" style="104" customWidth="1"/>
    <col min="2" max="16384" width="9.140625" style="104"/>
  </cols>
  <sheetData>
    <row r="2" spans="1:4" x14ac:dyDescent="0.35">
      <c r="A2" s="104" t="s">
        <v>182</v>
      </c>
      <c r="C2" s="105">
        <v>2013</v>
      </c>
    </row>
    <row r="5" spans="1:4" x14ac:dyDescent="0.35">
      <c r="A5" s="104" t="s">
        <v>181</v>
      </c>
      <c r="C5" s="105">
        <v>10</v>
      </c>
      <c r="D5" s="104" t="s">
        <v>183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E138" workbookViewId="0">
      <selection activeCell="F167" sqref="F167:O167"/>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229</v>
      </c>
      <c r="G3" s="237"/>
      <c r="H3" s="237"/>
      <c r="I3" s="237"/>
      <c r="J3" s="237"/>
      <c r="K3" s="237"/>
      <c r="L3" s="237"/>
      <c r="M3" s="237"/>
      <c r="N3" s="237"/>
      <c r="O3" s="237"/>
      <c r="P3" s="237"/>
      <c r="Q3" s="237"/>
      <c r="R3" s="238"/>
      <c r="S3" s="239" t="str">
        <f>+F3&amp;" YTD"</f>
        <v>2013 Budget YTD</v>
      </c>
      <c r="T3" s="240"/>
      <c r="U3" s="240"/>
      <c r="V3" s="240"/>
      <c r="W3" s="240"/>
      <c r="X3" s="240"/>
      <c r="Y3" s="240"/>
      <c r="Z3" s="240"/>
      <c r="AA3" s="240"/>
      <c r="AB3" s="240"/>
      <c r="AC3" s="240"/>
      <c r="AD3" s="241"/>
    </row>
    <row r="4" spans="1:30" s="5" customFormat="1" ht="53.25" customHeight="1" x14ac:dyDescent="0.25">
      <c r="A4" s="107"/>
      <c r="E4" s="88" t="s">
        <v>167</v>
      </c>
      <c r="F4" s="69" t="s">
        <v>166</v>
      </c>
      <c r="G4" s="69" t="s">
        <v>168</v>
      </c>
      <c r="H4" s="69" t="s">
        <v>169</v>
      </c>
      <c r="I4" s="69" t="s">
        <v>170</v>
      </c>
      <c r="J4" s="69" t="s">
        <v>171</v>
      </c>
      <c r="K4" s="69" t="s">
        <v>172</v>
      </c>
      <c r="L4" s="69" t="s">
        <v>173</v>
      </c>
      <c r="M4" s="69" t="s">
        <v>174</v>
      </c>
      <c r="N4" s="69" t="s">
        <v>175</v>
      </c>
      <c r="O4" s="69" t="s">
        <v>176</v>
      </c>
      <c r="P4" s="69" t="s">
        <v>177</v>
      </c>
      <c r="Q4" s="69" t="s">
        <v>178</v>
      </c>
      <c r="R4" s="135"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c r="G7" s="71"/>
      <c r="H7" s="71"/>
      <c r="I7" s="71"/>
      <c r="J7" s="71"/>
      <c r="K7" s="71"/>
      <c r="L7" s="71"/>
      <c r="M7" s="71"/>
      <c r="N7" s="71">
        <v>428402.44</v>
      </c>
      <c r="O7" s="71">
        <v>37752.089999999997</v>
      </c>
      <c r="P7" s="71"/>
      <c r="Q7" s="71">
        <f>549805-428402.44-37752.09</f>
        <v>83650.47</v>
      </c>
      <c r="R7" s="79">
        <f>SUM(F7:Q7)</f>
        <v>549805</v>
      </c>
      <c r="S7" s="139">
        <f>SUM(F7)</f>
        <v>0</v>
      </c>
      <c r="T7" s="139">
        <f>SUM($F7:G7)</f>
        <v>0</v>
      </c>
      <c r="U7" s="139">
        <f>SUM($F7:H7)</f>
        <v>0</v>
      </c>
      <c r="V7" s="139">
        <f>SUM($F7:I7)</f>
        <v>0</v>
      </c>
      <c r="W7" s="139">
        <f>SUM($F7:J7)</f>
        <v>0</v>
      </c>
      <c r="X7" s="139">
        <f>SUM($F7:K7)</f>
        <v>0</v>
      </c>
      <c r="Y7" s="139">
        <f>SUM($F7:L7)</f>
        <v>0</v>
      </c>
      <c r="Z7" s="139">
        <f>SUM($F7:M7)</f>
        <v>0</v>
      </c>
      <c r="AA7" s="139">
        <f>SUM($F7:N7)</f>
        <v>428402.44</v>
      </c>
      <c r="AB7" s="139">
        <f>SUM($F7:O7)</f>
        <v>466154.53</v>
      </c>
      <c r="AC7" s="139">
        <f>SUM($F7:P7)</f>
        <v>466154.53</v>
      </c>
      <c r="AD7" s="139">
        <f>SUM($F7:Q7)</f>
        <v>549805</v>
      </c>
    </row>
    <row r="8" spans="1:30" x14ac:dyDescent="0.25">
      <c r="A8" s="106">
        <v>3</v>
      </c>
      <c r="C8" s="1" t="s">
        <v>2</v>
      </c>
      <c r="F8" s="71"/>
      <c r="G8" s="71"/>
      <c r="H8" s="71"/>
      <c r="I8" s="71"/>
      <c r="J8" s="71"/>
      <c r="K8" s="71"/>
      <c r="L8" s="71"/>
      <c r="M8" s="71"/>
      <c r="N8" s="71">
        <v>0</v>
      </c>
      <c r="O8" s="71">
        <v>0</v>
      </c>
      <c r="P8" s="71"/>
      <c r="Q8" s="71"/>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c r="G9" s="71"/>
      <c r="H9" s="71"/>
      <c r="I9" s="71"/>
      <c r="J9" s="71"/>
      <c r="K9" s="71"/>
      <c r="L9" s="71"/>
      <c r="M9" s="71"/>
      <c r="N9" s="71">
        <v>4000</v>
      </c>
      <c r="O9" s="71">
        <v>0</v>
      </c>
      <c r="P9" s="71"/>
      <c r="Q9" s="71">
        <v>0</v>
      </c>
      <c r="R9" s="79">
        <f t="shared" si="0"/>
        <v>4000</v>
      </c>
      <c r="S9" s="139">
        <f t="shared" si="1"/>
        <v>0</v>
      </c>
      <c r="T9" s="139">
        <f>SUM($F9:G9)</f>
        <v>0</v>
      </c>
      <c r="U9" s="139">
        <f>SUM($F9:H9)</f>
        <v>0</v>
      </c>
      <c r="V9" s="139">
        <f>SUM($F9:I9)</f>
        <v>0</v>
      </c>
      <c r="W9" s="139">
        <f>SUM($F9:J9)</f>
        <v>0</v>
      </c>
      <c r="X9" s="139">
        <f>SUM($F9:K9)</f>
        <v>0</v>
      </c>
      <c r="Y9" s="139">
        <f>SUM($F9:L9)</f>
        <v>0</v>
      </c>
      <c r="Z9" s="139">
        <f>SUM($F9:M9)</f>
        <v>0</v>
      </c>
      <c r="AA9" s="139">
        <f>SUM($F9:N9)</f>
        <v>4000</v>
      </c>
      <c r="AB9" s="139">
        <f>SUM($F9:O9)</f>
        <v>4000</v>
      </c>
      <c r="AC9" s="139">
        <f>SUM($F9:P9)</f>
        <v>4000</v>
      </c>
      <c r="AD9" s="139">
        <f>SUM($F9:Q9)</f>
        <v>4000</v>
      </c>
    </row>
    <row r="10" spans="1:30" x14ac:dyDescent="0.25">
      <c r="A10" s="106">
        <v>5</v>
      </c>
      <c r="C10" s="1" t="s">
        <v>4</v>
      </c>
      <c r="F10" s="71"/>
      <c r="G10" s="71"/>
      <c r="H10" s="71"/>
      <c r="I10" s="71"/>
      <c r="J10" s="71"/>
      <c r="K10" s="71"/>
      <c r="L10" s="71"/>
      <c r="M10" s="71"/>
      <c r="N10" s="71">
        <v>0</v>
      </c>
      <c r="O10" s="71">
        <v>0</v>
      </c>
      <c r="P10" s="71"/>
      <c r="Q10" s="71">
        <v>1000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1000</v>
      </c>
    </row>
    <row r="11" spans="1:30" x14ac:dyDescent="0.25">
      <c r="A11" s="106">
        <v>6</v>
      </c>
      <c r="C11" s="1" t="s">
        <v>5</v>
      </c>
      <c r="F11" s="71"/>
      <c r="G11" s="71"/>
      <c r="H11" s="71"/>
      <c r="I11" s="71"/>
      <c r="J11" s="71"/>
      <c r="K11" s="71"/>
      <c r="L11" s="71"/>
      <c r="M11" s="71"/>
      <c r="N11" s="71">
        <v>0</v>
      </c>
      <c r="O11" s="71">
        <v>0</v>
      </c>
      <c r="P11" s="71"/>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c r="G12" s="71"/>
      <c r="H12" s="71"/>
      <c r="I12" s="71"/>
      <c r="J12" s="71"/>
      <c r="K12" s="71"/>
      <c r="L12" s="71"/>
      <c r="M12" s="71"/>
      <c r="N12" s="71">
        <v>2700</v>
      </c>
      <c r="O12" s="71">
        <v>0</v>
      </c>
      <c r="P12" s="71"/>
      <c r="Q12" s="71">
        <v>0</v>
      </c>
      <c r="R12" s="79">
        <f t="shared" si="0"/>
        <v>2700</v>
      </c>
      <c r="S12" s="139">
        <f t="shared" si="1"/>
        <v>0</v>
      </c>
      <c r="T12" s="139">
        <f>SUM($F12:G12)</f>
        <v>0</v>
      </c>
      <c r="U12" s="139">
        <f>SUM($F12:H12)</f>
        <v>0</v>
      </c>
      <c r="V12" s="139">
        <f>SUM($F12:I12)</f>
        <v>0</v>
      </c>
      <c r="W12" s="139">
        <f>SUM($F12:J12)</f>
        <v>0</v>
      </c>
      <c r="X12" s="139">
        <f>SUM($F12:K12)</f>
        <v>0</v>
      </c>
      <c r="Y12" s="139">
        <f>SUM($F12:L12)</f>
        <v>0</v>
      </c>
      <c r="Z12" s="139">
        <f>SUM($F12:M12)</f>
        <v>0</v>
      </c>
      <c r="AA12" s="139">
        <f>SUM($F12:N12)</f>
        <v>2700</v>
      </c>
      <c r="AB12" s="139">
        <f>SUM($F12:O12)</f>
        <v>2700</v>
      </c>
      <c r="AC12" s="139">
        <f>SUM($F12:P12)</f>
        <v>2700</v>
      </c>
      <c r="AD12" s="139">
        <f>SUM($F12:Q12)</f>
        <v>2700</v>
      </c>
    </row>
    <row r="13" spans="1:30" x14ac:dyDescent="0.25">
      <c r="A13" s="106">
        <v>8</v>
      </c>
      <c r="B13" s="15" t="s">
        <v>7</v>
      </c>
      <c r="C13" s="15"/>
      <c r="D13" s="15"/>
      <c r="E13" s="90"/>
      <c r="F13" s="72">
        <f t="shared" ref="F13" si="2">SUM(F7:F12)</f>
        <v>0</v>
      </c>
      <c r="G13" s="72">
        <f t="shared" ref="G13" si="3">SUM(G7:G12)</f>
        <v>0</v>
      </c>
      <c r="H13" s="72">
        <f t="shared" ref="H13" si="4">SUM(H7:H12)</f>
        <v>0</v>
      </c>
      <c r="I13" s="72">
        <f t="shared" ref="I13" si="5">SUM(I7:I12)</f>
        <v>0</v>
      </c>
      <c r="J13" s="72">
        <f t="shared" ref="J13" si="6">SUM(J7:J12)</f>
        <v>0</v>
      </c>
      <c r="K13" s="72">
        <f t="shared" ref="K13" si="7">SUM(K7:K12)</f>
        <v>0</v>
      </c>
      <c r="L13" s="72">
        <f t="shared" ref="L13" si="8">SUM(L7:L12)</f>
        <v>0</v>
      </c>
      <c r="M13" s="72">
        <f t="shared" ref="M13" si="9">SUM(M7:M12)</f>
        <v>0</v>
      </c>
      <c r="N13" s="72">
        <f t="shared" ref="N13" si="10">SUM(N7:N12)</f>
        <v>435102.44</v>
      </c>
      <c r="O13" s="72">
        <f t="shared" ref="O13" si="11">SUM(O7:O12)</f>
        <v>37752.089999999997</v>
      </c>
      <c r="P13" s="72">
        <f t="shared" ref="P13" si="12">SUM(P7:P12)</f>
        <v>0</v>
      </c>
      <c r="Q13" s="72">
        <f t="shared" ref="Q13" si="13">SUM(Q7:Q12)</f>
        <v>89650.47</v>
      </c>
      <c r="R13" s="72">
        <f>SUM(R7:R12)</f>
        <v>562505</v>
      </c>
      <c r="S13" s="140">
        <f t="shared" ref="S13:AD13" si="14">SUM(S7:S12)</f>
        <v>0</v>
      </c>
      <c r="T13" s="140">
        <f t="shared" si="14"/>
        <v>0</v>
      </c>
      <c r="U13" s="140">
        <f t="shared" si="14"/>
        <v>0</v>
      </c>
      <c r="V13" s="140">
        <f t="shared" si="14"/>
        <v>0</v>
      </c>
      <c r="W13" s="140">
        <f t="shared" si="14"/>
        <v>0</v>
      </c>
      <c r="X13" s="140">
        <f t="shared" si="14"/>
        <v>0</v>
      </c>
      <c r="Y13" s="140">
        <f t="shared" si="14"/>
        <v>0</v>
      </c>
      <c r="Z13" s="140">
        <f t="shared" si="14"/>
        <v>0</v>
      </c>
      <c r="AA13" s="140">
        <f t="shared" si="14"/>
        <v>435102.44</v>
      </c>
      <c r="AB13" s="140">
        <f t="shared" si="14"/>
        <v>472854.53</v>
      </c>
      <c r="AC13" s="140">
        <f t="shared" si="14"/>
        <v>472854.53</v>
      </c>
      <c r="AD13" s="140">
        <f t="shared" si="14"/>
        <v>562505</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15">ROUND(+$R16/$E16,2)</f>
        <v>833.33</v>
      </c>
      <c r="H16" s="79">
        <f t="shared" si="15"/>
        <v>833.33</v>
      </c>
      <c r="I16" s="79">
        <f t="shared" si="15"/>
        <v>833.33</v>
      </c>
      <c r="J16" s="79">
        <f t="shared" si="15"/>
        <v>833.33</v>
      </c>
      <c r="K16" s="79">
        <f t="shared" si="15"/>
        <v>833.33</v>
      </c>
      <c r="L16" s="79">
        <f t="shared" si="15"/>
        <v>833.33</v>
      </c>
      <c r="M16" s="79">
        <f t="shared" si="15"/>
        <v>833.33</v>
      </c>
      <c r="N16" s="79">
        <f t="shared" si="15"/>
        <v>833.33</v>
      </c>
      <c r="O16" s="79">
        <f t="shared" si="15"/>
        <v>833.33</v>
      </c>
      <c r="P16" s="79">
        <f t="shared" si="15"/>
        <v>833.33</v>
      </c>
      <c r="Q16" s="79">
        <f t="shared" si="15"/>
        <v>833.33</v>
      </c>
      <c r="R16" s="71">
        <v>10000</v>
      </c>
      <c r="S16" s="139">
        <f t="shared" ref="S16:S20" si="16">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17">ROUND(+$R17/$E17,2)</f>
        <v>0</v>
      </c>
      <c r="G17" s="79">
        <f t="shared" si="17"/>
        <v>0</v>
      </c>
      <c r="H17" s="79">
        <f t="shared" si="17"/>
        <v>0</v>
      </c>
      <c r="I17" s="79">
        <f t="shared" si="17"/>
        <v>0</v>
      </c>
      <c r="J17" s="79">
        <f t="shared" si="17"/>
        <v>0</v>
      </c>
      <c r="K17" s="79">
        <f t="shared" si="17"/>
        <v>0</v>
      </c>
      <c r="L17" s="79">
        <f t="shared" si="17"/>
        <v>0</v>
      </c>
      <c r="M17" s="79">
        <f t="shared" si="17"/>
        <v>0</v>
      </c>
      <c r="N17" s="79">
        <f t="shared" si="17"/>
        <v>0</v>
      </c>
      <c r="O17" s="79">
        <f t="shared" si="17"/>
        <v>0</v>
      </c>
      <c r="P17" s="79">
        <f t="shared" si="17"/>
        <v>0</v>
      </c>
      <c r="Q17" s="79">
        <f t="shared" si="17"/>
        <v>0</v>
      </c>
      <c r="R17" s="71">
        <v>0</v>
      </c>
      <c r="S17" s="139">
        <f t="shared" si="16"/>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18">+E$16</f>
        <v>12</v>
      </c>
      <c r="F18" s="79">
        <f t="shared" si="17"/>
        <v>0</v>
      </c>
      <c r="G18" s="79">
        <f t="shared" si="17"/>
        <v>0</v>
      </c>
      <c r="H18" s="79">
        <f t="shared" si="17"/>
        <v>0</v>
      </c>
      <c r="I18" s="79">
        <f t="shared" si="17"/>
        <v>0</v>
      </c>
      <c r="J18" s="79">
        <f t="shared" si="17"/>
        <v>0</v>
      </c>
      <c r="K18" s="79">
        <f t="shared" si="17"/>
        <v>0</v>
      </c>
      <c r="L18" s="79">
        <f t="shared" si="17"/>
        <v>0</v>
      </c>
      <c r="M18" s="79">
        <f t="shared" si="17"/>
        <v>0</v>
      </c>
      <c r="N18" s="79">
        <f t="shared" si="17"/>
        <v>0</v>
      </c>
      <c r="O18" s="79">
        <f t="shared" si="17"/>
        <v>0</v>
      </c>
      <c r="P18" s="79">
        <f t="shared" si="17"/>
        <v>0</v>
      </c>
      <c r="Q18" s="79">
        <f t="shared" si="17"/>
        <v>0</v>
      </c>
      <c r="R18" s="71">
        <v>0</v>
      </c>
      <c r="S18" s="139">
        <f t="shared" si="16"/>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18"/>
        <v>12</v>
      </c>
      <c r="F19" s="79">
        <f t="shared" si="17"/>
        <v>0</v>
      </c>
      <c r="G19" s="79">
        <f t="shared" si="17"/>
        <v>0</v>
      </c>
      <c r="H19" s="79">
        <f t="shared" si="17"/>
        <v>0</v>
      </c>
      <c r="I19" s="79">
        <f t="shared" si="17"/>
        <v>0</v>
      </c>
      <c r="J19" s="79">
        <f t="shared" si="17"/>
        <v>0</v>
      </c>
      <c r="K19" s="79">
        <f t="shared" si="17"/>
        <v>0</v>
      </c>
      <c r="L19" s="79">
        <f t="shared" si="17"/>
        <v>0</v>
      </c>
      <c r="M19" s="79">
        <f t="shared" si="17"/>
        <v>0</v>
      </c>
      <c r="N19" s="79">
        <f t="shared" si="17"/>
        <v>0</v>
      </c>
      <c r="O19" s="79">
        <f t="shared" si="17"/>
        <v>0</v>
      </c>
      <c r="P19" s="79">
        <f t="shared" si="17"/>
        <v>0</v>
      </c>
      <c r="Q19" s="79">
        <f t="shared" si="17"/>
        <v>0</v>
      </c>
      <c r="R19" s="71">
        <v>0</v>
      </c>
      <c r="S19" s="139">
        <f t="shared" si="16"/>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142</v>
      </c>
      <c r="E20" s="101">
        <f t="shared" si="18"/>
        <v>12</v>
      </c>
      <c r="F20" s="79">
        <f t="shared" si="17"/>
        <v>0</v>
      </c>
      <c r="G20" s="79">
        <f t="shared" si="17"/>
        <v>0</v>
      </c>
      <c r="H20" s="79">
        <f t="shared" si="17"/>
        <v>0</v>
      </c>
      <c r="I20" s="79">
        <f t="shared" si="17"/>
        <v>0</v>
      </c>
      <c r="J20" s="79">
        <f t="shared" si="17"/>
        <v>0</v>
      </c>
      <c r="K20" s="79">
        <f t="shared" si="17"/>
        <v>0</v>
      </c>
      <c r="L20" s="79">
        <f t="shared" si="17"/>
        <v>0</v>
      </c>
      <c r="M20" s="79">
        <f t="shared" si="17"/>
        <v>0</v>
      </c>
      <c r="N20" s="79">
        <f t="shared" si="17"/>
        <v>0</v>
      </c>
      <c r="O20" s="79">
        <f t="shared" si="17"/>
        <v>0</v>
      </c>
      <c r="P20" s="79">
        <f t="shared" si="17"/>
        <v>0</v>
      </c>
      <c r="Q20" s="79">
        <f t="shared" si="17"/>
        <v>0</v>
      </c>
      <c r="R20" s="71">
        <v>0</v>
      </c>
      <c r="S20" s="139">
        <f t="shared" si="16"/>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 si="19">SUM(F16:F20)</f>
        <v>833.33</v>
      </c>
      <c r="G21" s="72">
        <f t="shared" ref="G21" si="20">SUM(G16:G20)</f>
        <v>833.33</v>
      </c>
      <c r="H21" s="72">
        <f t="shared" ref="H21" si="21">SUM(H16:H20)</f>
        <v>833.33</v>
      </c>
      <c r="I21" s="72">
        <f t="shared" ref="I21" si="22">SUM(I16:I20)</f>
        <v>833.33</v>
      </c>
      <c r="J21" s="72">
        <f t="shared" ref="J21" si="23">SUM(J16:J20)</f>
        <v>833.33</v>
      </c>
      <c r="K21" s="72">
        <f t="shared" ref="K21" si="24">SUM(K16:K20)</f>
        <v>833.33</v>
      </c>
      <c r="L21" s="72">
        <f t="shared" ref="L21" si="25">SUM(L16:L20)</f>
        <v>833.33</v>
      </c>
      <c r="M21" s="72">
        <f t="shared" ref="M21" si="26">SUM(M16:M20)</f>
        <v>833.33</v>
      </c>
      <c r="N21" s="72">
        <f t="shared" ref="N21" si="27">SUM(N16:N20)</f>
        <v>833.33</v>
      </c>
      <c r="O21" s="72">
        <f t="shared" ref="O21" si="28">SUM(O16:O20)</f>
        <v>833.33</v>
      </c>
      <c r="P21" s="72">
        <f t="shared" ref="P21" si="29">SUM(P16:P20)</f>
        <v>833.33</v>
      </c>
      <c r="Q21" s="72">
        <f t="shared" ref="Q21" si="30">SUM(Q16:Q20)</f>
        <v>833.33</v>
      </c>
      <c r="R21" s="72">
        <f>SUM(R16:R20)</f>
        <v>10000</v>
      </c>
      <c r="S21" s="140">
        <f t="shared" ref="S21:AD21" si="31">SUM(S16:S20)</f>
        <v>833.33</v>
      </c>
      <c r="T21" s="140">
        <f t="shared" si="31"/>
        <v>1666.66</v>
      </c>
      <c r="U21" s="140">
        <f t="shared" si="31"/>
        <v>2499.9900000000002</v>
      </c>
      <c r="V21" s="140">
        <f t="shared" si="31"/>
        <v>3333.32</v>
      </c>
      <c r="W21" s="140">
        <f t="shared" si="31"/>
        <v>4166.6500000000005</v>
      </c>
      <c r="X21" s="140">
        <f t="shared" si="31"/>
        <v>4999.9800000000005</v>
      </c>
      <c r="Y21" s="140">
        <f t="shared" si="31"/>
        <v>5833.31</v>
      </c>
      <c r="Z21" s="140">
        <f t="shared" si="31"/>
        <v>6666.64</v>
      </c>
      <c r="AA21" s="140">
        <f t="shared" si="31"/>
        <v>7499.97</v>
      </c>
      <c r="AB21" s="140">
        <f t="shared" si="31"/>
        <v>8333.3000000000011</v>
      </c>
      <c r="AC21" s="140">
        <f t="shared" si="31"/>
        <v>9166.630000000001</v>
      </c>
      <c r="AD21" s="140">
        <f t="shared" si="31"/>
        <v>9999.9600000000009</v>
      </c>
    </row>
    <row r="22" spans="1:31" x14ac:dyDescent="0.25">
      <c r="A22" s="106">
        <v>17</v>
      </c>
      <c r="B22" s="15" t="s">
        <v>14</v>
      </c>
      <c r="C22" s="15"/>
      <c r="D22" s="15"/>
      <c r="E22" s="90"/>
      <c r="F22" s="72">
        <f t="shared" ref="F22" si="32">+F13+F21</f>
        <v>833.33</v>
      </c>
      <c r="G22" s="72">
        <f t="shared" ref="G22" si="33">+G13+G21</f>
        <v>833.33</v>
      </c>
      <c r="H22" s="72">
        <f t="shared" ref="H22" si="34">+H13+H21</f>
        <v>833.33</v>
      </c>
      <c r="I22" s="72">
        <f t="shared" ref="I22" si="35">+I13+I21</f>
        <v>833.33</v>
      </c>
      <c r="J22" s="72">
        <f t="shared" ref="J22" si="36">+J13+J21</f>
        <v>833.33</v>
      </c>
      <c r="K22" s="72">
        <f t="shared" ref="K22" si="37">+K13+K21</f>
        <v>833.33</v>
      </c>
      <c r="L22" s="72">
        <f t="shared" ref="L22" si="38">+L13+L21</f>
        <v>833.33</v>
      </c>
      <c r="M22" s="72">
        <f t="shared" ref="M22" si="39">+M13+M21</f>
        <v>833.33</v>
      </c>
      <c r="N22" s="72">
        <f t="shared" ref="N22" si="40">+N13+N21</f>
        <v>435935.77</v>
      </c>
      <c r="O22" s="72">
        <f t="shared" ref="O22" si="41">+O13+O21</f>
        <v>38585.42</v>
      </c>
      <c r="P22" s="72">
        <f t="shared" ref="P22" si="42">+P13+P21</f>
        <v>833.33</v>
      </c>
      <c r="Q22" s="72">
        <f t="shared" ref="Q22" si="43">+Q13+Q21</f>
        <v>90483.8</v>
      </c>
      <c r="R22" s="72">
        <f>+R13+R21</f>
        <v>572505</v>
      </c>
      <c r="S22" s="140">
        <f t="shared" ref="S22:AD22" si="44">+S13+S21</f>
        <v>833.33</v>
      </c>
      <c r="T22" s="140">
        <f t="shared" si="44"/>
        <v>1666.66</v>
      </c>
      <c r="U22" s="140">
        <f t="shared" si="44"/>
        <v>2499.9900000000002</v>
      </c>
      <c r="V22" s="140">
        <f t="shared" si="44"/>
        <v>3333.32</v>
      </c>
      <c r="W22" s="140">
        <f t="shared" si="44"/>
        <v>4166.6500000000005</v>
      </c>
      <c r="X22" s="140">
        <f t="shared" si="44"/>
        <v>4999.9800000000005</v>
      </c>
      <c r="Y22" s="140">
        <f t="shared" si="44"/>
        <v>5833.31</v>
      </c>
      <c r="Z22" s="140">
        <f t="shared" si="44"/>
        <v>6666.64</v>
      </c>
      <c r="AA22" s="140">
        <f t="shared" si="44"/>
        <v>442602.41</v>
      </c>
      <c r="AB22" s="140">
        <f t="shared" si="44"/>
        <v>481187.83</v>
      </c>
      <c r="AC22" s="140">
        <f t="shared" si="44"/>
        <v>482021.16000000003</v>
      </c>
      <c r="AD22" s="140">
        <f t="shared" si="44"/>
        <v>572504.96</v>
      </c>
      <c r="AE22" s="1">
        <f>+AD22*0.033</f>
        <v>18892.663680000001</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137</v>
      </c>
      <c r="S25" s="137"/>
      <c r="T25" s="137"/>
      <c r="U25" s="137"/>
      <c r="V25" s="137"/>
      <c r="W25" s="137"/>
      <c r="X25" s="137"/>
      <c r="Y25" s="137"/>
      <c r="Z25" s="137"/>
      <c r="AA25" s="137"/>
      <c r="AB25" s="137"/>
      <c r="AC25" s="137"/>
      <c r="AD25" s="137"/>
    </row>
    <row r="26" spans="1:31" x14ac:dyDescent="0.25">
      <c r="A26" s="106">
        <v>21</v>
      </c>
      <c r="C26" s="1" t="s">
        <v>17</v>
      </c>
      <c r="R26" s="35">
        <f>+R22</f>
        <v>572505</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-4516</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-684</v>
      </c>
      <c r="S29" s="138"/>
      <c r="T29" s="138"/>
      <c r="U29" s="138"/>
      <c r="V29" s="138"/>
      <c r="W29" s="138"/>
      <c r="X29" s="138"/>
      <c r="Y29" s="138"/>
      <c r="Z29" s="138"/>
      <c r="AA29" s="138"/>
      <c r="AB29" s="138"/>
      <c r="AC29" s="138"/>
      <c r="AD29" s="138"/>
    </row>
    <row r="30" spans="1:31" x14ac:dyDescent="0.25">
      <c r="A30" s="106">
        <v>25</v>
      </c>
      <c r="C30" s="1" t="s">
        <v>17</v>
      </c>
      <c r="R30" s="35">
        <f>SUM(R26:R29)</f>
        <v>512405</v>
      </c>
      <c r="S30" s="137"/>
      <c r="T30" s="137"/>
      <c r="U30" s="137"/>
      <c r="V30" s="137"/>
      <c r="W30" s="137"/>
      <c r="X30" s="137"/>
      <c r="Y30" s="137"/>
      <c r="Z30" s="137"/>
      <c r="AA30" s="137"/>
      <c r="AB30" s="137"/>
      <c r="AC30" s="137"/>
      <c r="AD30" s="137"/>
    </row>
    <row r="31" spans="1:31" s="5" customFormat="1" x14ac:dyDescent="0.25">
      <c r="A31" s="106">
        <v>26</v>
      </c>
      <c r="B31" s="18"/>
      <c r="C31" s="19" t="s">
        <v>138</v>
      </c>
      <c r="D31" s="18"/>
      <c r="E31" s="91"/>
      <c r="F31" s="84"/>
      <c r="G31" s="84"/>
      <c r="H31" s="84"/>
      <c r="I31" s="84"/>
      <c r="J31" s="84"/>
      <c r="K31" s="84"/>
      <c r="L31" s="84"/>
      <c r="M31" s="84"/>
      <c r="N31" s="84">
        <v>38493.19</v>
      </c>
      <c r="O31" s="84">
        <v>2853.41</v>
      </c>
      <c r="P31" s="84"/>
      <c r="Q31" s="103">
        <f>R31-SUM(F31:P31)</f>
        <v>9894.3999999999942</v>
      </c>
      <c r="R31" s="73">
        <f>ROUND(+R30*0.1,0)</f>
        <v>51241</v>
      </c>
      <c r="S31" s="143">
        <f>SUM(F31)</f>
        <v>0</v>
      </c>
      <c r="T31" s="143">
        <f>SUM($F31:G31)</f>
        <v>0</v>
      </c>
      <c r="U31" s="143">
        <f>SUM($F31:H31)</f>
        <v>0</v>
      </c>
      <c r="V31" s="143">
        <f>SUM($F31:I31)</f>
        <v>0</v>
      </c>
      <c r="W31" s="143">
        <f>SUM($F31:J31)</f>
        <v>0</v>
      </c>
      <c r="X31" s="143">
        <f>SUM($F31:K31)</f>
        <v>0</v>
      </c>
      <c r="Y31" s="143">
        <f>SUM($F31:L31)</f>
        <v>0</v>
      </c>
      <c r="Z31" s="143">
        <f>SUM($F31:M31)</f>
        <v>0</v>
      </c>
      <c r="AA31" s="143">
        <f>SUM($F31:N31)</f>
        <v>38493.19</v>
      </c>
      <c r="AB31" s="143">
        <f>SUM($F31:O31)</f>
        <v>41346.600000000006</v>
      </c>
      <c r="AC31" s="143">
        <f>SUM($F31:P31)</f>
        <v>41346.600000000006</v>
      </c>
      <c r="AD31" s="143">
        <f>SUM($F31:Q31)</f>
        <v>51241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45">+E$16</f>
        <v>12</v>
      </c>
      <c r="F35" s="79">
        <f t="shared" ref="F35:P36" si="46">ROUND(+$R35/$E35,2)</f>
        <v>291.67</v>
      </c>
      <c r="G35" s="79">
        <f t="shared" si="46"/>
        <v>291.67</v>
      </c>
      <c r="H35" s="79">
        <f t="shared" si="46"/>
        <v>291.67</v>
      </c>
      <c r="I35" s="79">
        <f t="shared" si="46"/>
        <v>291.67</v>
      </c>
      <c r="J35" s="79">
        <f t="shared" si="46"/>
        <v>291.67</v>
      </c>
      <c r="K35" s="79">
        <f t="shared" si="46"/>
        <v>291.67</v>
      </c>
      <c r="L35" s="79">
        <f t="shared" si="46"/>
        <v>291.67</v>
      </c>
      <c r="M35" s="79">
        <f t="shared" si="46"/>
        <v>291.67</v>
      </c>
      <c r="N35" s="79">
        <f>ROUND(+$R35/$E35,2)-2625+2450+0.47</f>
        <v>117.14000000000007</v>
      </c>
      <c r="O35" s="222">
        <f>350-0.03-0.47</f>
        <v>349.5</v>
      </c>
      <c r="P35" s="79">
        <f t="shared" si="46"/>
        <v>291.67</v>
      </c>
      <c r="Q35" s="221">
        <f>ROUND(+$R35/$E35,2)-3325.04+3500-350+291.67+0.03</f>
        <v>408.3300000000001</v>
      </c>
      <c r="R35" s="71">
        <v>3500</v>
      </c>
      <c r="S35" s="139">
        <f t="shared" ref="S35:S40" si="47">SUM(F35)</f>
        <v>291.67</v>
      </c>
      <c r="T35" s="139">
        <f>SUM($F35:G35)</f>
        <v>583.34</v>
      </c>
      <c r="U35" s="139">
        <f>SUM($F35:H35)</f>
        <v>875.01</v>
      </c>
      <c r="V35" s="139">
        <f>SUM($F35:I35)</f>
        <v>1166.68</v>
      </c>
      <c r="W35" s="139">
        <f>SUM($F35:J35)</f>
        <v>1458.3500000000001</v>
      </c>
      <c r="X35" s="139">
        <f>SUM($F35:K35)</f>
        <v>1750.0200000000002</v>
      </c>
      <c r="Y35" s="139">
        <f>SUM($F35:L35)</f>
        <v>2041.6900000000003</v>
      </c>
      <c r="Z35" s="139">
        <f>SUM($F35:M35)</f>
        <v>2333.36</v>
      </c>
      <c r="AA35" s="139">
        <f>SUM($F35:N35)</f>
        <v>2450.5</v>
      </c>
      <c r="AB35" s="139">
        <f>SUM($F35:O35)</f>
        <v>2800</v>
      </c>
      <c r="AC35" s="139">
        <f>SUM($F35:P35)</f>
        <v>3091.67</v>
      </c>
      <c r="AD35" s="139">
        <f>SUM($F35:Q35)</f>
        <v>3500</v>
      </c>
    </row>
    <row r="36" spans="1:30" x14ac:dyDescent="0.25">
      <c r="A36" s="106">
        <v>31</v>
      </c>
      <c r="C36" s="1" t="s">
        <v>21</v>
      </c>
      <c r="E36" s="101">
        <f t="shared" si="45"/>
        <v>12</v>
      </c>
      <c r="F36" s="79">
        <f t="shared" si="46"/>
        <v>62.5</v>
      </c>
      <c r="G36" s="79">
        <f t="shared" si="46"/>
        <v>62.5</v>
      </c>
      <c r="H36" s="79">
        <f t="shared" si="46"/>
        <v>62.5</v>
      </c>
      <c r="I36" s="79">
        <f t="shared" si="46"/>
        <v>62.5</v>
      </c>
      <c r="J36" s="79">
        <f t="shared" si="46"/>
        <v>62.5</v>
      </c>
      <c r="K36" s="79">
        <f t="shared" si="46"/>
        <v>62.5</v>
      </c>
      <c r="L36" s="79">
        <f t="shared" si="46"/>
        <v>62.5</v>
      </c>
      <c r="M36" s="79">
        <f t="shared" si="46"/>
        <v>62.5</v>
      </c>
      <c r="N36" s="79">
        <f>ROUND(+$R36/$E36,2)-563+525</f>
        <v>24.5</v>
      </c>
      <c r="O36" s="222">
        <v>75.5</v>
      </c>
      <c r="P36" s="79">
        <f t="shared" si="46"/>
        <v>62.5</v>
      </c>
      <c r="Q36" s="222">
        <f>ROUND(+$R36/$E36,2)-712+750-75+62.5-0.5</f>
        <v>87.5</v>
      </c>
      <c r="R36" s="71">
        <v>750</v>
      </c>
      <c r="S36" s="139">
        <f t="shared" si="47"/>
        <v>62.5</v>
      </c>
      <c r="T36" s="139">
        <f>SUM($F36:G36)</f>
        <v>125</v>
      </c>
      <c r="U36" s="139">
        <f>SUM($F36:H36)</f>
        <v>187.5</v>
      </c>
      <c r="V36" s="139">
        <f>SUM($F36:I36)</f>
        <v>250</v>
      </c>
      <c r="W36" s="139">
        <f>SUM($F36:J36)</f>
        <v>312.5</v>
      </c>
      <c r="X36" s="139">
        <f>SUM($F36:K36)</f>
        <v>375</v>
      </c>
      <c r="Y36" s="139">
        <f>SUM($F36:L36)</f>
        <v>437.5</v>
      </c>
      <c r="Z36" s="139">
        <f>SUM($F36:M36)</f>
        <v>500</v>
      </c>
      <c r="AA36" s="139">
        <f>SUM($F36:N36)</f>
        <v>524.5</v>
      </c>
      <c r="AB36" s="139">
        <f>SUM($F36:O36)</f>
        <v>600</v>
      </c>
      <c r="AC36" s="139">
        <f>SUM($F36:P36)</f>
        <v>662.5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47"/>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48">+E$16</f>
        <v>12</v>
      </c>
      <c r="F38" s="79">
        <f>ROUND(+$R38/$E38,2)</f>
        <v>41.67</v>
      </c>
      <c r="G38" s="79">
        <f t="shared" ref="G38:Q38" si="49">ROUND(+$R38/$E38,2)</f>
        <v>41.67</v>
      </c>
      <c r="H38" s="79">
        <f t="shared" si="49"/>
        <v>41.67</v>
      </c>
      <c r="I38" s="79">
        <f t="shared" si="49"/>
        <v>41.67</v>
      </c>
      <c r="J38" s="79">
        <f t="shared" si="49"/>
        <v>41.67</v>
      </c>
      <c r="K38" s="79">
        <f t="shared" si="49"/>
        <v>41.67</v>
      </c>
      <c r="L38" s="79">
        <f t="shared" si="49"/>
        <v>41.67</v>
      </c>
      <c r="M38" s="79">
        <f t="shared" si="49"/>
        <v>41.67</v>
      </c>
      <c r="N38" s="79">
        <f t="shared" si="49"/>
        <v>41.67</v>
      </c>
      <c r="O38" s="79">
        <f t="shared" si="49"/>
        <v>41.67</v>
      </c>
      <c r="P38" s="79">
        <f t="shared" si="49"/>
        <v>41.67</v>
      </c>
      <c r="Q38" s="79">
        <f t="shared" si="49"/>
        <v>41.67</v>
      </c>
      <c r="R38" s="71">
        <v>500</v>
      </c>
      <c r="S38" s="139">
        <f t="shared" si="47"/>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47"/>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124</v>
      </c>
      <c r="E40" s="101">
        <f t="shared" ref="E40" si="50">+E$16</f>
        <v>12</v>
      </c>
      <c r="F40" s="79">
        <f>ROUND(+$R40/$E40,2)</f>
        <v>62.5</v>
      </c>
      <c r="G40" s="79">
        <f t="shared" ref="G40:Q40" si="51">ROUND(+$R40/$E40,2)</f>
        <v>62.5</v>
      </c>
      <c r="H40" s="79">
        <f t="shared" si="51"/>
        <v>62.5</v>
      </c>
      <c r="I40" s="79">
        <f t="shared" si="51"/>
        <v>62.5</v>
      </c>
      <c r="J40" s="79">
        <f t="shared" si="51"/>
        <v>62.5</v>
      </c>
      <c r="K40" s="79">
        <f t="shared" si="51"/>
        <v>62.5</v>
      </c>
      <c r="L40" s="79">
        <f t="shared" si="51"/>
        <v>62.5</v>
      </c>
      <c r="M40" s="79">
        <f t="shared" si="51"/>
        <v>62.5</v>
      </c>
      <c r="N40" s="79">
        <f t="shared" si="51"/>
        <v>62.5</v>
      </c>
      <c r="O40" s="79">
        <f t="shared" si="51"/>
        <v>62.5</v>
      </c>
      <c r="P40" s="79">
        <f t="shared" si="51"/>
        <v>62.5</v>
      </c>
      <c r="Q40" s="79">
        <f t="shared" si="51"/>
        <v>62.5</v>
      </c>
      <c r="R40" s="71">
        <v>750</v>
      </c>
      <c r="S40" s="139">
        <f t="shared" si="47"/>
        <v>62.5</v>
      </c>
      <c r="T40" s="139">
        <f>SUM($F40:G40)</f>
        <v>125</v>
      </c>
      <c r="U40" s="139">
        <f>SUM($F40:H40)</f>
        <v>187.5</v>
      </c>
      <c r="V40" s="139">
        <f>SUM($F40:I40)</f>
        <v>250</v>
      </c>
      <c r="W40" s="139">
        <f>SUM($F40:J40)</f>
        <v>312.5</v>
      </c>
      <c r="X40" s="139">
        <f>SUM($F40:K40)</f>
        <v>375</v>
      </c>
      <c r="Y40" s="139">
        <f>SUM($F40:L40)</f>
        <v>437.5</v>
      </c>
      <c r="Z40" s="139">
        <f>SUM($F40:M40)</f>
        <v>500</v>
      </c>
      <c r="AA40" s="139">
        <f>SUM($F40:N40)</f>
        <v>562.5</v>
      </c>
      <c r="AB40" s="139">
        <f>SUM($F40:O40)</f>
        <v>625</v>
      </c>
      <c r="AC40" s="139">
        <f>SUM($F40:P40)</f>
        <v>687.5</v>
      </c>
      <c r="AD40" s="139">
        <f>SUM($F40:Q40)</f>
        <v>750</v>
      </c>
    </row>
    <row r="41" spans="1:30" s="5" customFormat="1" x14ac:dyDescent="0.25">
      <c r="A41" s="106">
        <v>36</v>
      </c>
      <c r="B41" s="51" t="s">
        <v>25</v>
      </c>
      <c r="C41" s="51"/>
      <c r="D41" s="51"/>
      <c r="E41" s="93"/>
      <c r="F41" s="75">
        <f t="shared" ref="F41" si="52">SUM(F35:F40)</f>
        <v>458.34000000000003</v>
      </c>
      <c r="G41" s="75">
        <f t="shared" ref="G41" si="53">SUM(G35:G40)</f>
        <v>458.34000000000003</v>
      </c>
      <c r="H41" s="75">
        <f t="shared" ref="H41" si="54">SUM(H35:H40)</f>
        <v>525</v>
      </c>
      <c r="I41" s="75">
        <f t="shared" ref="I41" si="55">SUM(I35:I40)</f>
        <v>525.01</v>
      </c>
      <c r="J41" s="75">
        <f t="shared" ref="J41" si="56">SUM(J35:J40)</f>
        <v>525.01</v>
      </c>
      <c r="K41" s="75">
        <f t="shared" ref="K41" si="57">SUM(K35:K40)</f>
        <v>458.34000000000003</v>
      </c>
      <c r="L41" s="75">
        <f t="shared" ref="L41" si="58">SUM(L35:L40)</f>
        <v>458.34000000000003</v>
      </c>
      <c r="M41" s="75">
        <f t="shared" ref="M41" si="59">SUM(M35:M40)</f>
        <v>1208.3400000000001</v>
      </c>
      <c r="N41" s="75">
        <f t="shared" ref="N41" si="60">SUM(N35:N40)</f>
        <v>245.81000000000006</v>
      </c>
      <c r="O41" s="75">
        <f t="shared" ref="O41" si="61">SUM(O35:O40)</f>
        <v>529.17000000000007</v>
      </c>
      <c r="P41" s="75">
        <f t="shared" ref="P41" si="62">SUM(P35:P40)</f>
        <v>458.34000000000003</v>
      </c>
      <c r="Q41" s="75">
        <f t="shared" ref="Q41" si="63">SUM(Q35:Q40)</f>
        <v>600.00000000000011</v>
      </c>
      <c r="R41" s="75">
        <f>SUM(R35:R40)</f>
        <v>6450</v>
      </c>
      <c r="S41" s="145">
        <f t="shared" ref="S41:AD41" si="64">SUM(S35:S40)</f>
        <v>458.34000000000003</v>
      </c>
      <c r="T41" s="145">
        <f t="shared" si="64"/>
        <v>916.68000000000006</v>
      </c>
      <c r="U41" s="145">
        <f t="shared" si="64"/>
        <v>1441.68</v>
      </c>
      <c r="V41" s="145">
        <f t="shared" si="64"/>
        <v>1966.69</v>
      </c>
      <c r="W41" s="145">
        <f t="shared" si="64"/>
        <v>2491.7000000000003</v>
      </c>
      <c r="X41" s="145">
        <f t="shared" si="64"/>
        <v>2950.0400000000004</v>
      </c>
      <c r="Y41" s="145">
        <f t="shared" si="64"/>
        <v>3408.3800000000006</v>
      </c>
      <c r="Z41" s="145">
        <f t="shared" si="64"/>
        <v>4616.72</v>
      </c>
      <c r="AA41" s="145">
        <f t="shared" si="64"/>
        <v>4862.53</v>
      </c>
      <c r="AB41" s="145">
        <f t="shared" si="64"/>
        <v>5391.7</v>
      </c>
      <c r="AC41" s="145">
        <f t="shared" si="64"/>
        <v>5850.04</v>
      </c>
      <c r="AD41" s="145">
        <f t="shared" si="64"/>
        <v>6450.04</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65">+E$16</f>
        <v>12</v>
      </c>
      <c r="F43" s="85">
        <f>ROUND(+$R43/$E43,2)</f>
        <v>83.33</v>
      </c>
      <c r="G43" s="85">
        <f t="shared" ref="G43:Q43" si="66">ROUND(+$R43/$E43,2)</f>
        <v>83.33</v>
      </c>
      <c r="H43" s="85">
        <f t="shared" si="66"/>
        <v>83.33</v>
      </c>
      <c r="I43" s="85">
        <f t="shared" si="66"/>
        <v>83.33</v>
      </c>
      <c r="J43" s="85">
        <f t="shared" si="66"/>
        <v>83.33</v>
      </c>
      <c r="K43" s="85">
        <f t="shared" si="66"/>
        <v>83.33</v>
      </c>
      <c r="L43" s="85">
        <f t="shared" si="66"/>
        <v>83.33</v>
      </c>
      <c r="M43" s="85">
        <f t="shared" si="66"/>
        <v>83.33</v>
      </c>
      <c r="N43" s="85">
        <f t="shared" si="66"/>
        <v>83.33</v>
      </c>
      <c r="O43" s="85">
        <f t="shared" si="66"/>
        <v>83.33</v>
      </c>
      <c r="P43" s="85">
        <f t="shared" si="66"/>
        <v>83.33</v>
      </c>
      <c r="Q43" s="85">
        <f t="shared" si="66"/>
        <v>83.33</v>
      </c>
      <c r="R43" s="76">
        <v>1000</v>
      </c>
      <c r="S43" s="147">
        <f t="shared" ref="S43" si="67">SUM(F43)</f>
        <v>83.33</v>
      </c>
      <c r="T43" s="147">
        <f>SUM($F43:G43)</f>
        <v>166.66</v>
      </c>
      <c r="U43" s="147">
        <f>SUM($F43:H43)</f>
        <v>249.99</v>
      </c>
      <c r="V43" s="147">
        <f>SUM($F43:I43)</f>
        <v>333.32</v>
      </c>
      <c r="W43" s="147">
        <f>SUM($F43:J43)</f>
        <v>416.65</v>
      </c>
      <c r="X43" s="147">
        <f>SUM($F43:K43)</f>
        <v>499.97999999999996</v>
      </c>
      <c r="Y43" s="147">
        <f>SUM($F43:L43)</f>
        <v>583.30999999999995</v>
      </c>
      <c r="Z43" s="147">
        <f>SUM($F43:M43)</f>
        <v>666.64</v>
      </c>
      <c r="AA43" s="147">
        <f>SUM($F43:N43)</f>
        <v>749.97</v>
      </c>
      <c r="AB43" s="147">
        <f>SUM($F43:O43)</f>
        <v>833.30000000000007</v>
      </c>
      <c r="AC43" s="147">
        <f>SUM($F43:P43)</f>
        <v>916.63000000000011</v>
      </c>
      <c r="AD43" s="147">
        <f>SUM($F43:Q43)</f>
        <v>999.96000000000015</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68">+E$16</f>
        <v>12</v>
      </c>
      <c r="F46" s="79">
        <f t="shared" ref="F46:Q49" si="69">ROUND(+$R46/$E46,2)</f>
        <v>441.67</v>
      </c>
      <c r="G46" s="79">
        <f t="shared" si="69"/>
        <v>441.67</v>
      </c>
      <c r="H46" s="79">
        <f t="shared" si="69"/>
        <v>441.67</v>
      </c>
      <c r="I46" s="79">
        <f t="shared" si="69"/>
        <v>441.67</v>
      </c>
      <c r="J46" s="79">
        <f t="shared" si="69"/>
        <v>441.67</v>
      </c>
      <c r="K46" s="79">
        <f t="shared" si="69"/>
        <v>441.67</v>
      </c>
      <c r="L46" s="79">
        <f t="shared" si="69"/>
        <v>441.67</v>
      </c>
      <c r="M46" s="79">
        <f t="shared" si="69"/>
        <v>441.67</v>
      </c>
      <c r="N46" s="79">
        <f t="shared" si="69"/>
        <v>441.67</v>
      </c>
      <c r="O46" s="79">
        <f t="shared" si="69"/>
        <v>441.67</v>
      </c>
      <c r="P46" s="79">
        <f t="shared" si="69"/>
        <v>441.67</v>
      </c>
      <c r="Q46" s="79">
        <f t="shared" si="69"/>
        <v>441.67</v>
      </c>
      <c r="R46" s="71">
        <v>5300</v>
      </c>
      <c r="S46" s="139">
        <f t="shared" ref="S46:S49" si="70">SUM(F46)</f>
        <v>441.67</v>
      </c>
      <c r="T46" s="139">
        <f>SUM($F46:G46)</f>
        <v>883.34</v>
      </c>
      <c r="U46" s="139">
        <f>SUM($F46:H46)</f>
        <v>1325.01</v>
      </c>
      <c r="V46" s="139">
        <f>SUM($F46:I46)</f>
        <v>1766.68</v>
      </c>
      <c r="W46" s="139">
        <f>SUM($F46:J46)</f>
        <v>2208.35</v>
      </c>
      <c r="X46" s="139">
        <f>SUM($F46:K46)</f>
        <v>2650.02</v>
      </c>
      <c r="Y46" s="139">
        <f>SUM($F46:L46)</f>
        <v>3091.69</v>
      </c>
      <c r="Z46" s="139">
        <f>SUM($F46:M46)</f>
        <v>3533.36</v>
      </c>
      <c r="AA46" s="139">
        <f>SUM($F46:N46)</f>
        <v>3975.03</v>
      </c>
      <c r="AB46" s="139">
        <f>SUM($F46:O46)</f>
        <v>4416.7</v>
      </c>
      <c r="AC46" s="139">
        <f>SUM($F46:P46)</f>
        <v>4858.37</v>
      </c>
      <c r="AD46" s="139">
        <f>SUM($F46:Q46)</f>
        <v>5300.04</v>
      </c>
    </row>
    <row r="47" spans="1:30" x14ac:dyDescent="0.25">
      <c r="A47" s="106">
        <v>42</v>
      </c>
      <c r="C47" s="1" t="s">
        <v>30</v>
      </c>
      <c r="E47" s="101">
        <f t="shared" si="68"/>
        <v>12</v>
      </c>
      <c r="F47" s="79">
        <f t="shared" si="69"/>
        <v>108.33</v>
      </c>
      <c r="G47" s="79">
        <f t="shared" si="69"/>
        <v>108.33</v>
      </c>
      <c r="H47" s="79">
        <f t="shared" si="69"/>
        <v>108.33</v>
      </c>
      <c r="I47" s="79">
        <f t="shared" si="69"/>
        <v>108.33</v>
      </c>
      <c r="J47" s="79">
        <f t="shared" si="69"/>
        <v>108.33</v>
      </c>
      <c r="K47" s="79">
        <f t="shared" si="69"/>
        <v>108.33</v>
      </c>
      <c r="L47" s="79">
        <f t="shared" si="69"/>
        <v>108.33</v>
      </c>
      <c r="M47" s="79">
        <f t="shared" si="69"/>
        <v>108.33</v>
      </c>
      <c r="N47" s="79">
        <f t="shared" si="69"/>
        <v>108.33</v>
      </c>
      <c r="O47" s="79">
        <f t="shared" si="69"/>
        <v>108.33</v>
      </c>
      <c r="P47" s="79">
        <f t="shared" si="69"/>
        <v>108.33</v>
      </c>
      <c r="Q47" s="79">
        <f t="shared" si="69"/>
        <v>108.33</v>
      </c>
      <c r="R47" s="71">
        <v>1300</v>
      </c>
      <c r="S47" s="139">
        <f t="shared" si="70"/>
        <v>108.33</v>
      </c>
      <c r="T47" s="139">
        <f>SUM($F47:G47)</f>
        <v>216.66</v>
      </c>
      <c r="U47" s="139">
        <f>SUM($F47:H47)</f>
        <v>324.99</v>
      </c>
      <c r="V47" s="139">
        <f>SUM($F47:I47)</f>
        <v>433.32</v>
      </c>
      <c r="W47" s="139">
        <f>SUM($F47:J47)</f>
        <v>541.65</v>
      </c>
      <c r="X47" s="139">
        <f>SUM($F47:K47)</f>
        <v>649.98</v>
      </c>
      <c r="Y47" s="139">
        <f>SUM($F47:L47)</f>
        <v>758.31000000000006</v>
      </c>
      <c r="Z47" s="139">
        <f>SUM($F47:M47)</f>
        <v>866.6400000000001</v>
      </c>
      <c r="AA47" s="139">
        <f>SUM($F47:N47)</f>
        <v>974.97000000000014</v>
      </c>
      <c r="AB47" s="139">
        <f>SUM($F47:O47)</f>
        <v>1083.3000000000002</v>
      </c>
      <c r="AC47" s="139">
        <f>SUM($F47:P47)</f>
        <v>1191.6300000000001</v>
      </c>
      <c r="AD47" s="139">
        <f>SUM($F47:Q47)</f>
        <v>1299.96</v>
      </c>
    </row>
    <row r="48" spans="1:30" x14ac:dyDescent="0.25">
      <c r="A48" s="106">
        <v>43</v>
      </c>
      <c r="C48" s="1" t="s">
        <v>31</v>
      </c>
      <c r="E48" s="101">
        <f t="shared" si="68"/>
        <v>12</v>
      </c>
      <c r="F48" s="79">
        <f t="shared" si="69"/>
        <v>83.33</v>
      </c>
      <c r="G48" s="79">
        <f t="shared" si="69"/>
        <v>83.33</v>
      </c>
      <c r="H48" s="79">
        <f t="shared" si="69"/>
        <v>83.33</v>
      </c>
      <c r="I48" s="79">
        <f t="shared" si="69"/>
        <v>83.33</v>
      </c>
      <c r="J48" s="79">
        <f t="shared" si="69"/>
        <v>83.33</v>
      </c>
      <c r="K48" s="79">
        <f t="shared" si="69"/>
        <v>83.33</v>
      </c>
      <c r="L48" s="79">
        <f t="shared" si="69"/>
        <v>83.33</v>
      </c>
      <c r="M48" s="79">
        <f t="shared" si="69"/>
        <v>83.33</v>
      </c>
      <c r="N48" s="79">
        <f t="shared" si="69"/>
        <v>83.33</v>
      </c>
      <c r="O48" s="79">
        <f t="shared" si="69"/>
        <v>83.33</v>
      </c>
      <c r="P48" s="79">
        <f t="shared" si="69"/>
        <v>83.33</v>
      </c>
      <c r="Q48" s="79">
        <f t="shared" si="69"/>
        <v>83.33</v>
      </c>
      <c r="R48" s="71">
        <v>1000</v>
      </c>
      <c r="S48" s="139">
        <f t="shared" si="70"/>
        <v>83.33</v>
      </c>
      <c r="T48" s="139">
        <f>SUM($F48:G48)</f>
        <v>166.66</v>
      </c>
      <c r="U48" s="139">
        <f>SUM($F48:H48)</f>
        <v>249.99</v>
      </c>
      <c r="V48" s="139">
        <f>SUM($F48:I48)</f>
        <v>333.32</v>
      </c>
      <c r="W48" s="139">
        <f>SUM($F48:J48)</f>
        <v>416.65</v>
      </c>
      <c r="X48" s="139">
        <f>SUM($F48:K48)</f>
        <v>499.97999999999996</v>
      </c>
      <c r="Y48" s="139">
        <f>SUM($F48:L48)</f>
        <v>583.30999999999995</v>
      </c>
      <c r="Z48" s="139">
        <f>SUM($F48:M48)</f>
        <v>666.64</v>
      </c>
      <c r="AA48" s="139">
        <f>SUM($F48:N48)</f>
        <v>749.97</v>
      </c>
      <c r="AB48" s="139">
        <f>SUM($F48:O48)</f>
        <v>833.30000000000007</v>
      </c>
      <c r="AC48" s="139">
        <f>SUM($F48:P48)</f>
        <v>916.63000000000011</v>
      </c>
      <c r="AD48" s="139">
        <f>SUM($F48:Q48)</f>
        <v>999.96000000000015</v>
      </c>
    </row>
    <row r="49" spans="1:30" x14ac:dyDescent="0.25">
      <c r="A49" s="106">
        <v>44</v>
      </c>
      <c r="C49" s="1" t="s">
        <v>32</v>
      </c>
      <c r="E49" s="101">
        <f t="shared" si="68"/>
        <v>12</v>
      </c>
      <c r="F49" s="79">
        <f t="shared" si="69"/>
        <v>25</v>
      </c>
      <c r="G49" s="79">
        <f t="shared" si="69"/>
        <v>25</v>
      </c>
      <c r="H49" s="79">
        <f t="shared" si="69"/>
        <v>25</v>
      </c>
      <c r="I49" s="79">
        <f t="shared" si="69"/>
        <v>25</v>
      </c>
      <c r="J49" s="79">
        <f t="shared" si="69"/>
        <v>25</v>
      </c>
      <c r="K49" s="79">
        <f t="shared" si="69"/>
        <v>25</v>
      </c>
      <c r="L49" s="79">
        <f t="shared" si="69"/>
        <v>25</v>
      </c>
      <c r="M49" s="79">
        <f t="shared" si="69"/>
        <v>25</v>
      </c>
      <c r="N49" s="79">
        <f t="shared" si="69"/>
        <v>25</v>
      </c>
      <c r="O49" s="79">
        <f t="shared" si="69"/>
        <v>25</v>
      </c>
      <c r="P49" s="79">
        <f t="shared" si="69"/>
        <v>25</v>
      </c>
      <c r="Q49" s="79">
        <f t="shared" si="69"/>
        <v>25</v>
      </c>
      <c r="R49" s="71">
        <v>300</v>
      </c>
      <c r="S49" s="139">
        <f t="shared" si="70"/>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 si="71">SUM(F46:F49)</f>
        <v>658.33</v>
      </c>
      <c r="G50" s="75">
        <f t="shared" ref="G50" si="72">SUM(G46:G49)</f>
        <v>658.33</v>
      </c>
      <c r="H50" s="75">
        <f t="shared" ref="H50" si="73">SUM(H46:H49)</f>
        <v>658.33</v>
      </c>
      <c r="I50" s="75">
        <f t="shared" ref="I50" si="74">SUM(I46:I49)</f>
        <v>658.33</v>
      </c>
      <c r="J50" s="75">
        <f t="shared" ref="J50" si="75">SUM(J46:J49)</f>
        <v>658.33</v>
      </c>
      <c r="K50" s="75">
        <f t="shared" ref="K50" si="76">SUM(K46:K49)</f>
        <v>658.33</v>
      </c>
      <c r="L50" s="75">
        <f t="shared" ref="L50" si="77">SUM(L46:L49)</f>
        <v>658.33</v>
      </c>
      <c r="M50" s="75">
        <f t="shared" ref="M50" si="78">SUM(M46:M49)</f>
        <v>658.33</v>
      </c>
      <c r="N50" s="75">
        <f t="shared" ref="N50" si="79">SUM(N46:N49)</f>
        <v>658.33</v>
      </c>
      <c r="O50" s="75">
        <f t="shared" ref="O50" si="80">SUM(O46:O49)</f>
        <v>658.33</v>
      </c>
      <c r="P50" s="75">
        <f t="shared" ref="P50" si="81">SUM(P46:P49)</f>
        <v>658.33</v>
      </c>
      <c r="Q50" s="75">
        <f t="shared" ref="Q50" si="82">SUM(Q46:Q49)</f>
        <v>658.33</v>
      </c>
      <c r="R50" s="75">
        <f>SUM(R46:R49)</f>
        <v>7900</v>
      </c>
      <c r="S50" s="145">
        <f t="shared" ref="S50:AD50" si="83">SUM(S46:S49)</f>
        <v>658.33</v>
      </c>
      <c r="T50" s="145">
        <f t="shared" si="83"/>
        <v>1316.66</v>
      </c>
      <c r="U50" s="145">
        <f t="shared" si="83"/>
        <v>1974.99</v>
      </c>
      <c r="V50" s="145">
        <f t="shared" si="83"/>
        <v>2633.32</v>
      </c>
      <c r="W50" s="145">
        <f t="shared" si="83"/>
        <v>3291.65</v>
      </c>
      <c r="X50" s="145">
        <f t="shared" si="83"/>
        <v>3949.98</v>
      </c>
      <c r="Y50" s="145">
        <f t="shared" si="83"/>
        <v>4608.3099999999995</v>
      </c>
      <c r="Z50" s="145">
        <f t="shared" si="83"/>
        <v>5266.64</v>
      </c>
      <c r="AA50" s="145">
        <f t="shared" si="83"/>
        <v>5924.97</v>
      </c>
      <c r="AB50" s="145">
        <f t="shared" si="83"/>
        <v>6583.3</v>
      </c>
      <c r="AC50" s="145">
        <f t="shared" si="83"/>
        <v>7241.63</v>
      </c>
      <c r="AD50" s="145">
        <f t="shared" si="83"/>
        <v>7899.96</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84">+E$16</f>
        <v>12</v>
      </c>
      <c r="F53" s="79">
        <f t="shared" ref="F53:Q55" si="85">ROUND(+$R53/$E53,2)</f>
        <v>583.33000000000004</v>
      </c>
      <c r="G53" s="79">
        <f t="shared" si="85"/>
        <v>583.33000000000004</v>
      </c>
      <c r="H53" s="79">
        <f t="shared" si="85"/>
        <v>583.33000000000004</v>
      </c>
      <c r="I53" s="79">
        <f t="shared" si="85"/>
        <v>583.33000000000004</v>
      </c>
      <c r="J53" s="79">
        <f t="shared" si="85"/>
        <v>583.33000000000004</v>
      </c>
      <c r="K53" s="79">
        <f t="shared" si="85"/>
        <v>583.33000000000004</v>
      </c>
      <c r="L53" s="79">
        <f t="shared" si="85"/>
        <v>583.33000000000004</v>
      </c>
      <c r="M53" s="79">
        <f t="shared" si="85"/>
        <v>583.33000000000004</v>
      </c>
      <c r="N53" s="79">
        <f t="shared" si="85"/>
        <v>583.33000000000004</v>
      </c>
      <c r="O53" s="79">
        <f t="shared" si="85"/>
        <v>583.33000000000004</v>
      </c>
      <c r="P53" s="79">
        <f t="shared" si="85"/>
        <v>583.33000000000004</v>
      </c>
      <c r="Q53" s="79">
        <f t="shared" si="85"/>
        <v>583.33000000000004</v>
      </c>
      <c r="R53" s="71">
        <v>7000</v>
      </c>
      <c r="S53" s="139">
        <f t="shared" ref="S53:S55" si="86">SUM(F53)</f>
        <v>583.33000000000004</v>
      </c>
      <c r="T53" s="139">
        <f>SUM($F53:G53)</f>
        <v>1166.6600000000001</v>
      </c>
      <c r="U53" s="139">
        <f>SUM($F53:H53)</f>
        <v>1749.9900000000002</v>
      </c>
      <c r="V53" s="139">
        <f>SUM($F53:I53)</f>
        <v>2333.3200000000002</v>
      </c>
      <c r="W53" s="139">
        <f>SUM($F53:J53)</f>
        <v>2916.65</v>
      </c>
      <c r="X53" s="139">
        <f>SUM($F53:K53)</f>
        <v>3499.98</v>
      </c>
      <c r="Y53" s="139">
        <f>SUM($F53:L53)</f>
        <v>4083.31</v>
      </c>
      <c r="Z53" s="139">
        <f>SUM($F53:M53)</f>
        <v>4666.6400000000003</v>
      </c>
      <c r="AA53" s="139">
        <f>SUM($F53:N53)</f>
        <v>5249.97</v>
      </c>
      <c r="AB53" s="139">
        <f>SUM($F53:O53)</f>
        <v>5833.3</v>
      </c>
      <c r="AC53" s="139">
        <f>SUM($F53:P53)</f>
        <v>6416.63</v>
      </c>
      <c r="AD53" s="139">
        <f>SUM($F53:Q53)</f>
        <v>6999.96</v>
      </c>
    </row>
    <row r="54" spans="1:30" x14ac:dyDescent="0.25">
      <c r="A54" s="106">
        <v>49</v>
      </c>
      <c r="C54" s="1" t="s">
        <v>143</v>
      </c>
      <c r="E54" s="101">
        <f t="shared" si="84"/>
        <v>12</v>
      </c>
      <c r="F54" s="79">
        <f t="shared" si="85"/>
        <v>0</v>
      </c>
      <c r="G54" s="79">
        <f t="shared" si="85"/>
        <v>0</v>
      </c>
      <c r="H54" s="79">
        <f t="shared" si="85"/>
        <v>0</v>
      </c>
      <c r="I54" s="79">
        <f t="shared" si="85"/>
        <v>0</v>
      </c>
      <c r="J54" s="79">
        <f t="shared" si="85"/>
        <v>0</v>
      </c>
      <c r="K54" s="79">
        <f t="shared" si="85"/>
        <v>0</v>
      </c>
      <c r="L54" s="79">
        <f t="shared" si="85"/>
        <v>0</v>
      </c>
      <c r="M54" s="79">
        <f t="shared" si="85"/>
        <v>0</v>
      </c>
      <c r="N54" s="79">
        <f t="shared" si="85"/>
        <v>0</v>
      </c>
      <c r="O54" s="79">
        <f t="shared" si="85"/>
        <v>0</v>
      </c>
      <c r="P54" s="79">
        <f t="shared" si="85"/>
        <v>0</v>
      </c>
      <c r="Q54" s="79">
        <f t="shared" si="85"/>
        <v>0</v>
      </c>
      <c r="R54" s="71">
        <v>0</v>
      </c>
      <c r="S54" s="139">
        <f t="shared" si="86"/>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f t="shared" si="84"/>
        <v>12</v>
      </c>
      <c r="F55" s="79">
        <f t="shared" si="85"/>
        <v>0</v>
      </c>
      <c r="G55" s="79">
        <f t="shared" si="85"/>
        <v>0</v>
      </c>
      <c r="H55" s="79">
        <f t="shared" si="85"/>
        <v>0</v>
      </c>
      <c r="I55" s="79">
        <f t="shared" si="85"/>
        <v>0</v>
      </c>
      <c r="J55" s="79">
        <f t="shared" si="85"/>
        <v>0</v>
      </c>
      <c r="K55" s="79">
        <f t="shared" si="85"/>
        <v>0</v>
      </c>
      <c r="L55" s="79">
        <f t="shared" si="85"/>
        <v>0</v>
      </c>
      <c r="M55" s="79">
        <f t="shared" si="85"/>
        <v>0</v>
      </c>
      <c r="N55" s="79">
        <f t="shared" si="85"/>
        <v>0</v>
      </c>
      <c r="O55" s="79">
        <f t="shared" si="85"/>
        <v>0</v>
      </c>
      <c r="P55" s="79">
        <f t="shared" si="85"/>
        <v>0</v>
      </c>
      <c r="Q55" s="79">
        <f t="shared" si="85"/>
        <v>0</v>
      </c>
      <c r="R55" s="71">
        <v>0</v>
      </c>
      <c r="S55" s="139">
        <f t="shared" si="86"/>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 si="87">SUM(F53:F55)</f>
        <v>583.33000000000004</v>
      </c>
      <c r="G56" s="75">
        <f t="shared" ref="G56" si="88">SUM(G53:G55)</f>
        <v>583.33000000000004</v>
      </c>
      <c r="H56" s="75">
        <f t="shared" ref="H56" si="89">SUM(H53:H55)</f>
        <v>583.33000000000004</v>
      </c>
      <c r="I56" s="75">
        <f t="shared" ref="I56" si="90">SUM(I53:I55)</f>
        <v>583.33000000000004</v>
      </c>
      <c r="J56" s="75">
        <f t="shared" ref="J56" si="91">SUM(J53:J55)</f>
        <v>583.33000000000004</v>
      </c>
      <c r="K56" s="75">
        <f t="shared" ref="K56" si="92">SUM(K53:K55)</f>
        <v>583.33000000000004</v>
      </c>
      <c r="L56" s="75">
        <f t="shared" ref="L56" si="93">SUM(L53:L55)</f>
        <v>583.33000000000004</v>
      </c>
      <c r="M56" s="75">
        <f t="shared" ref="M56" si="94">SUM(M53:M55)</f>
        <v>583.33000000000004</v>
      </c>
      <c r="N56" s="75">
        <f t="shared" ref="N56" si="95">SUM(N53:N55)</f>
        <v>583.33000000000004</v>
      </c>
      <c r="O56" s="75">
        <f t="shared" ref="O56" si="96">SUM(O53:O55)</f>
        <v>583.33000000000004</v>
      </c>
      <c r="P56" s="75">
        <f t="shared" ref="P56" si="97">SUM(P53:P55)</f>
        <v>583.33000000000004</v>
      </c>
      <c r="Q56" s="75">
        <f t="shared" ref="Q56" si="98">SUM(Q53:Q55)</f>
        <v>583.33000000000004</v>
      </c>
      <c r="R56" s="75">
        <f>SUM(R53:R55)</f>
        <v>7000</v>
      </c>
      <c r="S56" s="145">
        <f t="shared" ref="S56:AD56" si="99">SUM(S53:S55)</f>
        <v>583.33000000000004</v>
      </c>
      <c r="T56" s="145">
        <f t="shared" si="99"/>
        <v>1166.6600000000001</v>
      </c>
      <c r="U56" s="145">
        <f t="shared" si="99"/>
        <v>1749.9900000000002</v>
      </c>
      <c r="V56" s="145">
        <f t="shared" si="99"/>
        <v>2333.3200000000002</v>
      </c>
      <c r="W56" s="145">
        <f t="shared" si="99"/>
        <v>2916.65</v>
      </c>
      <c r="X56" s="145">
        <f t="shared" si="99"/>
        <v>3499.98</v>
      </c>
      <c r="Y56" s="145">
        <f t="shared" si="99"/>
        <v>4083.31</v>
      </c>
      <c r="Z56" s="145">
        <f t="shared" si="99"/>
        <v>4666.6400000000003</v>
      </c>
      <c r="AA56" s="145">
        <f t="shared" si="99"/>
        <v>5249.97</v>
      </c>
      <c r="AB56" s="145">
        <f t="shared" si="99"/>
        <v>5833.3</v>
      </c>
      <c r="AC56" s="145">
        <f t="shared" si="99"/>
        <v>6416.63</v>
      </c>
      <c r="AD56" s="145">
        <f t="shared" si="99"/>
        <v>6999.96</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f t="shared" ref="E59:E60" si="100">+E$16</f>
        <v>12</v>
      </c>
      <c r="F59" s="79">
        <f t="shared" ref="F59:Q60" si="101">ROUND(+$R59/$E59,2)</f>
        <v>25</v>
      </c>
      <c r="G59" s="79">
        <f t="shared" si="101"/>
        <v>25</v>
      </c>
      <c r="H59" s="79">
        <f t="shared" si="101"/>
        <v>25</v>
      </c>
      <c r="I59" s="79">
        <f t="shared" si="101"/>
        <v>25</v>
      </c>
      <c r="J59" s="79">
        <f t="shared" si="101"/>
        <v>25</v>
      </c>
      <c r="K59" s="79">
        <f t="shared" si="101"/>
        <v>25</v>
      </c>
      <c r="L59" s="79">
        <f t="shared" si="101"/>
        <v>25</v>
      </c>
      <c r="M59" s="79">
        <f t="shared" si="101"/>
        <v>25</v>
      </c>
      <c r="N59" s="79">
        <f t="shared" si="101"/>
        <v>25</v>
      </c>
      <c r="O59" s="79">
        <f t="shared" si="101"/>
        <v>25</v>
      </c>
      <c r="P59" s="79">
        <f t="shared" si="101"/>
        <v>25</v>
      </c>
      <c r="Q59" s="79">
        <f t="shared" si="101"/>
        <v>25</v>
      </c>
      <c r="R59" s="71">
        <v>300</v>
      </c>
      <c r="S59" s="139">
        <f t="shared" ref="S59:S60" si="102">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100"/>
        <v>12</v>
      </c>
      <c r="F60" s="79">
        <f t="shared" si="101"/>
        <v>33.33</v>
      </c>
      <c r="G60" s="79">
        <f t="shared" si="101"/>
        <v>33.33</v>
      </c>
      <c r="H60" s="79">
        <f t="shared" si="101"/>
        <v>33.33</v>
      </c>
      <c r="I60" s="79">
        <f t="shared" si="101"/>
        <v>33.33</v>
      </c>
      <c r="J60" s="79">
        <f t="shared" si="101"/>
        <v>33.33</v>
      </c>
      <c r="K60" s="79">
        <f t="shared" si="101"/>
        <v>33.33</v>
      </c>
      <c r="L60" s="79">
        <f t="shared" si="101"/>
        <v>33.33</v>
      </c>
      <c r="M60" s="79">
        <f t="shared" si="101"/>
        <v>33.33</v>
      </c>
      <c r="N60" s="79">
        <f t="shared" si="101"/>
        <v>33.33</v>
      </c>
      <c r="O60" s="79">
        <f t="shared" si="101"/>
        <v>33.33</v>
      </c>
      <c r="P60" s="79">
        <f t="shared" si="101"/>
        <v>33.33</v>
      </c>
      <c r="Q60" s="79">
        <f t="shared" si="101"/>
        <v>33.33</v>
      </c>
      <c r="R60" s="71">
        <v>400</v>
      </c>
      <c r="S60" s="139">
        <f t="shared" si="102"/>
        <v>33.33</v>
      </c>
      <c r="T60" s="139">
        <f>SUM($F60:G60)</f>
        <v>66.66</v>
      </c>
      <c r="U60" s="139">
        <f>SUM($F60:H60)</f>
        <v>99.99</v>
      </c>
      <c r="V60" s="139">
        <f>SUM($F60:I60)</f>
        <v>133.32</v>
      </c>
      <c r="W60" s="139">
        <f>SUM($F60:J60)</f>
        <v>166.64999999999998</v>
      </c>
      <c r="X60" s="139">
        <f>SUM($F60:K60)</f>
        <v>199.97999999999996</v>
      </c>
      <c r="Y60" s="139">
        <f>SUM($F60:L60)</f>
        <v>233.30999999999995</v>
      </c>
      <c r="Z60" s="139">
        <f>SUM($F60:M60)</f>
        <v>266.63999999999993</v>
      </c>
      <c r="AA60" s="139">
        <f>SUM($F60:N60)</f>
        <v>299.96999999999991</v>
      </c>
      <c r="AB60" s="139">
        <f>SUM($F60:O60)</f>
        <v>333.2999999999999</v>
      </c>
      <c r="AC60" s="139">
        <f>SUM($F60:P60)</f>
        <v>366.62999999999988</v>
      </c>
      <c r="AD60" s="139">
        <f>SUM($F60:Q60)</f>
        <v>399.95999999999987</v>
      </c>
    </row>
    <row r="61" spans="1:30" s="5" customFormat="1" x14ac:dyDescent="0.25">
      <c r="A61" s="106">
        <v>56</v>
      </c>
      <c r="B61" s="51" t="s">
        <v>127</v>
      </c>
      <c r="C61" s="51"/>
      <c r="D61" s="51"/>
      <c r="E61" s="93"/>
      <c r="F61" s="75">
        <f t="shared" ref="F61" si="103">SUM(F59:F60)</f>
        <v>58.33</v>
      </c>
      <c r="G61" s="75">
        <f t="shared" ref="G61" si="104">SUM(G59:G60)</f>
        <v>58.33</v>
      </c>
      <c r="H61" s="75">
        <f t="shared" ref="H61" si="105">SUM(H59:H60)</f>
        <v>58.33</v>
      </c>
      <c r="I61" s="75">
        <f t="shared" ref="I61" si="106">SUM(I59:I60)</f>
        <v>58.33</v>
      </c>
      <c r="J61" s="75">
        <f t="shared" ref="J61" si="107">SUM(J59:J60)</f>
        <v>58.33</v>
      </c>
      <c r="K61" s="75">
        <f t="shared" ref="K61" si="108">SUM(K59:K60)</f>
        <v>58.33</v>
      </c>
      <c r="L61" s="75">
        <f t="shared" ref="L61" si="109">SUM(L59:L60)</f>
        <v>58.33</v>
      </c>
      <c r="M61" s="75">
        <f t="shared" ref="M61" si="110">SUM(M59:M60)</f>
        <v>58.33</v>
      </c>
      <c r="N61" s="75">
        <f t="shared" ref="N61" si="111">SUM(N59:N60)</f>
        <v>58.33</v>
      </c>
      <c r="O61" s="75">
        <f t="shared" ref="O61" si="112">SUM(O59:O60)</f>
        <v>58.33</v>
      </c>
      <c r="P61" s="75">
        <f t="shared" ref="P61" si="113">SUM(P59:P60)</f>
        <v>58.33</v>
      </c>
      <c r="Q61" s="75">
        <f t="shared" ref="Q61" si="114">SUM(Q59:Q60)</f>
        <v>58.33</v>
      </c>
      <c r="R61" s="75">
        <f>SUM(R59:R60)</f>
        <v>700</v>
      </c>
      <c r="S61" s="145">
        <f t="shared" ref="S61:AD61" si="115">SUM(S59:S60)</f>
        <v>58.33</v>
      </c>
      <c r="T61" s="145">
        <f t="shared" si="115"/>
        <v>116.66</v>
      </c>
      <c r="U61" s="145">
        <f t="shared" si="115"/>
        <v>174.99</v>
      </c>
      <c r="V61" s="145">
        <f t="shared" si="115"/>
        <v>233.32</v>
      </c>
      <c r="W61" s="145">
        <f t="shared" si="115"/>
        <v>291.64999999999998</v>
      </c>
      <c r="X61" s="145">
        <f t="shared" si="115"/>
        <v>349.97999999999996</v>
      </c>
      <c r="Y61" s="145">
        <f t="shared" si="115"/>
        <v>408.30999999999995</v>
      </c>
      <c r="Z61" s="145">
        <f t="shared" si="115"/>
        <v>466.63999999999993</v>
      </c>
      <c r="AA61" s="145">
        <f t="shared" si="115"/>
        <v>524.96999999999991</v>
      </c>
      <c r="AB61" s="145">
        <f t="shared" si="115"/>
        <v>583.29999999999995</v>
      </c>
      <c r="AC61" s="145">
        <f t="shared" si="115"/>
        <v>641.62999999999988</v>
      </c>
      <c r="AD61" s="145">
        <f t="shared" si="115"/>
        <v>699.95999999999981</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116">+E$16</f>
        <v>12</v>
      </c>
      <c r="F63" s="86">
        <f t="shared" ref="F63:Q63" si="117">ROUND(+$R63/$E63,2)</f>
        <v>16.670000000000002</v>
      </c>
      <c r="G63" s="86">
        <f t="shared" si="117"/>
        <v>16.670000000000002</v>
      </c>
      <c r="H63" s="86">
        <f t="shared" si="117"/>
        <v>16.670000000000002</v>
      </c>
      <c r="I63" s="86">
        <f t="shared" si="117"/>
        <v>16.670000000000002</v>
      </c>
      <c r="J63" s="86">
        <f t="shared" si="117"/>
        <v>16.670000000000002</v>
      </c>
      <c r="K63" s="86">
        <f t="shared" si="117"/>
        <v>16.670000000000002</v>
      </c>
      <c r="L63" s="86">
        <f t="shared" si="117"/>
        <v>16.670000000000002</v>
      </c>
      <c r="M63" s="86">
        <f t="shared" si="117"/>
        <v>16.670000000000002</v>
      </c>
      <c r="N63" s="86">
        <f t="shared" si="117"/>
        <v>16.670000000000002</v>
      </c>
      <c r="O63" s="86">
        <f t="shared" si="117"/>
        <v>16.670000000000002</v>
      </c>
      <c r="P63" s="86">
        <f t="shared" si="117"/>
        <v>16.670000000000002</v>
      </c>
      <c r="Q63" s="86">
        <f t="shared" si="117"/>
        <v>16.670000000000002</v>
      </c>
      <c r="R63" s="77">
        <v>200</v>
      </c>
      <c r="S63" s="147">
        <f t="shared" ref="S63" si="118">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150</v>
      </c>
      <c r="P66" s="71">
        <v>150</v>
      </c>
      <c r="Q66" s="71">
        <v>0</v>
      </c>
      <c r="R66" s="79">
        <f>SUM(F66:Q66)</f>
        <v>300</v>
      </c>
      <c r="S66" s="139">
        <f t="shared" ref="S66:S70" si="119">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150</v>
      </c>
      <c r="AC66" s="139">
        <f>SUM($F66:P66)</f>
        <v>300</v>
      </c>
      <c r="AD66" s="139">
        <f>SUM($F66:Q66)</f>
        <v>300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119"/>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119"/>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120">+E$16</f>
        <v>12</v>
      </c>
      <c r="F69" s="79">
        <f t="shared" ref="F69:Q70" si="121">ROUND(+$R69/$E69,2)</f>
        <v>50</v>
      </c>
      <c r="G69" s="79">
        <f t="shared" si="121"/>
        <v>50</v>
      </c>
      <c r="H69" s="79">
        <f t="shared" si="121"/>
        <v>50</v>
      </c>
      <c r="I69" s="79">
        <f t="shared" si="121"/>
        <v>50</v>
      </c>
      <c r="J69" s="79">
        <f t="shared" si="121"/>
        <v>50</v>
      </c>
      <c r="K69" s="79">
        <f t="shared" si="121"/>
        <v>50</v>
      </c>
      <c r="L69" s="79">
        <f t="shared" si="121"/>
        <v>50</v>
      </c>
      <c r="M69" s="79">
        <f t="shared" si="121"/>
        <v>50</v>
      </c>
      <c r="N69" s="79">
        <f t="shared" si="121"/>
        <v>50</v>
      </c>
      <c r="O69" s="79">
        <f t="shared" si="121"/>
        <v>50</v>
      </c>
      <c r="P69" s="79">
        <f t="shared" si="121"/>
        <v>50</v>
      </c>
      <c r="Q69" s="79">
        <f t="shared" si="121"/>
        <v>50</v>
      </c>
      <c r="R69" s="71">
        <v>600</v>
      </c>
      <c r="S69" s="139">
        <f t="shared" si="119"/>
        <v>50</v>
      </c>
      <c r="T69" s="139">
        <f>SUM($F69:G69)</f>
        <v>100</v>
      </c>
      <c r="U69" s="139">
        <f>SUM($F69:H69)</f>
        <v>150</v>
      </c>
      <c r="V69" s="139">
        <f>SUM($F69:I69)</f>
        <v>200</v>
      </c>
      <c r="W69" s="139">
        <f>SUM($F69:J69)</f>
        <v>250</v>
      </c>
      <c r="X69" s="139">
        <f>SUM($F69:K69)</f>
        <v>300</v>
      </c>
      <c r="Y69" s="139">
        <f>SUM($F69:L69)</f>
        <v>350</v>
      </c>
      <c r="Z69" s="139">
        <f>SUM($F69:M69)</f>
        <v>400</v>
      </c>
      <c r="AA69" s="139">
        <f>SUM($F69:N69)</f>
        <v>450</v>
      </c>
      <c r="AB69" s="139">
        <f>SUM($F69:O69)</f>
        <v>500</v>
      </c>
      <c r="AC69" s="139">
        <f>SUM($F69:P69)</f>
        <v>550</v>
      </c>
      <c r="AD69" s="139">
        <f>SUM($F69:Q69)</f>
        <v>600</v>
      </c>
    </row>
    <row r="70" spans="1:30" x14ac:dyDescent="0.25">
      <c r="A70" s="106">
        <v>65</v>
      </c>
      <c r="C70" s="1" t="s">
        <v>42</v>
      </c>
      <c r="E70" s="101">
        <f t="shared" si="120"/>
        <v>12</v>
      </c>
      <c r="F70" s="79">
        <f t="shared" si="121"/>
        <v>66.67</v>
      </c>
      <c r="G70" s="79">
        <f t="shared" si="121"/>
        <v>66.67</v>
      </c>
      <c r="H70" s="79">
        <f t="shared" si="121"/>
        <v>66.67</v>
      </c>
      <c r="I70" s="79">
        <f t="shared" si="121"/>
        <v>66.67</v>
      </c>
      <c r="J70" s="79">
        <f t="shared" si="121"/>
        <v>66.67</v>
      </c>
      <c r="K70" s="79">
        <f t="shared" si="121"/>
        <v>66.67</v>
      </c>
      <c r="L70" s="79">
        <f t="shared" si="121"/>
        <v>66.67</v>
      </c>
      <c r="M70" s="79">
        <f t="shared" si="121"/>
        <v>66.67</v>
      </c>
      <c r="N70" s="79">
        <f t="shared" si="121"/>
        <v>66.67</v>
      </c>
      <c r="O70" s="79">
        <f t="shared" si="121"/>
        <v>66.67</v>
      </c>
      <c r="P70" s="79">
        <f t="shared" si="121"/>
        <v>66.67</v>
      </c>
      <c r="Q70" s="79">
        <f t="shared" si="121"/>
        <v>66.67</v>
      </c>
      <c r="R70" s="71">
        <v>800</v>
      </c>
      <c r="S70" s="139">
        <f t="shared" si="119"/>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 si="122">SUM(F66:F70)</f>
        <v>116.67</v>
      </c>
      <c r="G71" s="75">
        <f t="shared" ref="G71" si="123">SUM(G66:G70)</f>
        <v>116.67</v>
      </c>
      <c r="H71" s="75">
        <f t="shared" ref="H71" si="124">SUM(H66:H70)</f>
        <v>116.67</v>
      </c>
      <c r="I71" s="75">
        <f t="shared" ref="I71" si="125">SUM(I66:I70)</f>
        <v>116.67</v>
      </c>
      <c r="J71" s="75">
        <f t="shared" ref="J71" si="126">SUM(J66:J70)</f>
        <v>816.67</v>
      </c>
      <c r="K71" s="75">
        <f t="shared" ref="K71" si="127">SUM(K66:K70)</f>
        <v>116.67</v>
      </c>
      <c r="L71" s="75">
        <f t="shared" ref="L71" si="128">SUM(L66:L70)</f>
        <v>116.67</v>
      </c>
      <c r="M71" s="75">
        <f t="shared" ref="M71" si="129">SUM(M66:M70)</f>
        <v>116.67</v>
      </c>
      <c r="N71" s="75">
        <f t="shared" ref="N71" si="130">SUM(N66:N70)</f>
        <v>116.67</v>
      </c>
      <c r="O71" s="75">
        <f t="shared" ref="O71" si="131">SUM(O66:O70)</f>
        <v>1266.67</v>
      </c>
      <c r="P71" s="75">
        <f t="shared" ref="P71" si="132">SUM(P66:P70)</f>
        <v>266.67</v>
      </c>
      <c r="Q71" s="75">
        <f t="shared" ref="Q71" si="133">SUM(Q66:Q70)</f>
        <v>116.67</v>
      </c>
      <c r="R71" s="75">
        <f>SUM(R66:R70)</f>
        <v>3400</v>
      </c>
      <c r="S71" s="145">
        <f t="shared" ref="S71:AD71" si="134">SUM(S66:S70)</f>
        <v>116.67</v>
      </c>
      <c r="T71" s="145">
        <f t="shared" si="134"/>
        <v>233.34</v>
      </c>
      <c r="U71" s="145">
        <f t="shared" si="134"/>
        <v>350.01</v>
      </c>
      <c r="V71" s="145">
        <f t="shared" si="134"/>
        <v>466.68</v>
      </c>
      <c r="W71" s="145">
        <f t="shared" si="134"/>
        <v>1283.3499999999999</v>
      </c>
      <c r="X71" s="145">
        <f t="shared" si="134"/>
        <v>1400.02</v>
      </c>
      <c r="Y71" s="145">
        <f t="shared" si="134"/>
        <v>1516.69</v>
      </c>
      <c r="Z71" s="145">
        <f t="shared" si="134"/>
        <v>1633.3600000000001</v>
      </c>
      <c r="AA71" s="145">
        <f t="shared" si="134"/>
        <v>1750.03</v>
      </c>
      <c r="AB71" s="145">
        <f t="shared" si="134"/>
        <v>3016.7</v>
      </c>
      <c r="AC71" s="145">
        <f t="shared" si="134"/>
        <v>3283.37</v>
      </c>
      <c r="AD71" s="145">
        <f t="shared" si="134"/>
        <v>3400.04</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135">+E$16</f>
        <v>12</v>
      </c>
      <c r="F74" s="79">
        <f t="shared" ref="F74:Q76" si="136">ROUND(+$R74/$E74,2)</f>
        <v>458.33</v>
      </c>
      <c r="G74" s="79">
        <f t="shared" si="136"/>
        <v>458.33</v>
      </c>
      <c r="H74" s="79">
        <f t="shared" si="136"/>
        <v>458.33</v>
      </c>
      <c r="I74" s="79">
        <f t="shared" si="136"/>
        <v>458.33</v>
      </c>
      <c r="J74" s="79">
        <f t="shared" si="136"/>
        <v>458.33</v>
      </c>
      <c r="K74" s="79">
        <f t="shared" si="136"/>
        <v>458.33</v>
      </c>
      <c r="L74" s="79">
        <f t="shared" si="136"/>
        <v>458.33</v>
      </c>
      <c r="M74" s="79">
        <f t="shared" si="136"/>
        <v>458.33</v>
      </c>
      <c r="N74" s="79">
        <f t="shared" si="136"/>
        <v>458.33</v>
      </c>
      <c r="O74" s="79">
        <f t="shared" si="136"/>
        <v>458.33</v>
      </c>
      <c r="P74" s="79">
        <f t="shared" si="136"/>
        <v>458.33</v>
      </c>
      <c r="Q74" s="79">
        <f t="shared" si="136"/>
        <v>458.33</v>
      </c>
      <c r="R74" s="71">
        <v>5500</v>
      </c>
      <c r="S74" s="139">
        <f t="shared" ref="S74:S80" si="137">SUM(F74)</f>
        <v>458.33</v>
      </c>
      <c r="T74" s="139">
        <f>SUM($F74:G74)</f>
        <v>916.66</v>
      </c>
      <c r="U74" s="139">
        <f>SUM($F74:H74)</f>
        <v>1374.99</v>
      </c>
      <c r="V74" s="139">
        <f>SUM($F74:I74)</f>
        <v>1833.32</v>
      </c>
      <c r="W74" s="139">
        <f>SUM($F74:J74)</f>
        <v>2291.65</v>
      </c>
      <c r="X74" s="139">
        <f>SUM($F74:K74)</f>
        <v>2749.98</v>
      </c>
      <c r="Y74" s="139">
        <f>SUM($F74:L74)</f>
        <v>3208.31</v>
      </c>
      <c r="Z74" s="139">
        <f>SUM($F74:M74)</f>
        <v>3666.64</v>
      </c>
      <c r="AA74" s="139">
        <f>SUM($F74:N74)</f>
        <v>4124.97</v>
      </c>
      <c r="AB74" s="139">
        <f>SUM($F74:O74)</f>
        <v>4583.3</v>
      </c>
      <c r="AC74" s="139">
        <f>SUM($F74:P74)</f>
        <v>5041.63</v>
      </c>
      <c r="AD74" s="139">
        <f>SUM($F74:Q74)</f>
        <v>5499.96</v>
      </c>
    </row>
    <row r="75" spans="1:30" x14ac:dyDescent="0.25">
      <c r="A75" s="106">
        <v>70</v>
      </c>
      <c r="C75" s="1" t="s">
        <v>46</v>
      </c>
      <c r="E75" s="101">
        <f t="shared" si="135"/>
        <v>12</v>
      </c>
      <c r="F75" s="79">
        <f t="shared" si="136"/>
        <v>416.67</v>
      </c>
      <c r="G75" s="79">
        <f t="shared" si="136"/>
        <v>416.67</v>
      </c>
      <c r="H75" s="79">
        <f t="shared" si="136"/>
        <v>416.67</v>
      </c>
      <c r="I75" s="79">
        <f t="shared" si="136"/>
        <v>416.67</v>
      </c>
      <c r="J75" s="79">
        <f t="shared" si="136"/>
        <v>416.67</v>
      </c>
      <c r="K75" s="79">
        <f t="shared" si="136"/>
        <v>416.67</v>
      </c>
      <c r="L75" s="79">
        <f t="shared" si="136"/>
        <v>416.67</v>
      </c>
      <c r="M75" s="79">
        <f t="shared" si="136"/>
        <v>416.67</v>
      </c>
      <c r="N75" s="79">
        <f t="shared" si="136"/>
        <v>416.67</v>
      </c>
      <c r="O75" s="79">
        <f t="shared" si="136"/>
        <v>416.67</v>
      </c>
      <c r="P75" s="79">
        <f t="shared" si="136"/>
        <v>416.67</v>
      </c>
      <c r="Q75" s="79">
        <f t="shared" si="136"/>
        <v>416.67</v>
      </c>
      <c r="R75" s="71">
        <v>5000</v>
      </c>
      <c r="S75" s="139">
        <f t="shared" si="137"/>
        <v>416.67</v>
      </c>
      <c r="T75" s="139">
        <f>SUM($F75:G75)</f>
        <v>833.34</v>
      </c>
      <c r="U75" s="139">
        <f>SUM($F75:H75)</f>
        <v>1250.01</v>
      </c>
      <c r="V75" s="139">
        <f>SUM($F75:I75)</f>
        <v>1666.68</v>
      </c>
      <c r="W75" s="139">
        <f>SUM($F75:J75)</f>
        <v>2083.35</v>
      </c>
      <c r="X75" s="139">
        <f>SUM($F75:K75)</f>
        <v>2500.02</v>
      </c>
      <c r="Y75" s="139">
        <f>SUM($F75:L75)</f>
        <v>2916.69</v>
      </c>
      <c r="Z75" s="139">
        <f>SUM($F75:M75)</f>
        <v>3333.36</v>
      </c>
      <c r="AA75" s="139">
        <f>SUM($F75:N75)</f>
        <v>3750.03</v>
      </c>
      <c r="AB75" s="139">
        <f>SUM($F75:O75)</f>
        <v>4166.7</v>
      </c>
      <c r="AC75" s="139">
        <f>SUM($F75:P75)</f>
        <v>4583.37</v>
      </c>
      <c r="AD75" s="139">
        <f>SUM($F75:Q75)</f>
        <v>5000.04</v>
      </c>
    </row>
    <row r="76" spans="1:30" x14ac:dyDescent="0.25">
      <c r="A76" s="106">
        <v>71</v>
      </c>
      <c r="C76" s="1" t="s">
        <v>145</v>
      </c>
      <c r="E76" s="101">
        <f t="shared" si="135"/>
        <v>12</v>
      </c>
      <c r="F76" s="79">
        <f t="shared" si="136"/>
        <v>41.67</v>
      </c>
      <c r="G76" s="79">
        <f t="shared" si="136"/>
        <v>41.67</v>
      </c>
      <c r="H76" s="79">
        <f t="shared" si="136"/>
        <v>41.67</v>
      </c>
      <c r="I76" s="79">
        <f t="shared" si="136"/>
        <v>41.67</v>
      </c>
      <c r="J76" s="79">
        <f t="shared" si="136"/>
        <v>41.67</v>
      </c>
      <c r="K76" s="79">
        <f t="shared" si="136"/>
        <v>41.67</v>
      </c>
      <c r="L76" s="79">
        <f t="shared" si="136"/>
        <v>41.67</v>
      </c>
      <c r="M76" s="79">
        <f t="shared" si="136"/>
        <v>41.67</v>
      </c>
      <c r="N76" s="79">
        <f t="shared" si="136"/>
        <v>41.67</v>
      </c>
      <c r="O76" s="79">
        <f t="shared" si="136"/>
        <v>41.67</v>
      </c>
      <c r="P76" s="79">
        <f t="shared" si="136"/>
        <v>41.67</v>
      </c>
      <c r="Q76" s="79">
        <f t="shared" si="136"/>
        <v>41.67</v>
      </c>
      <c r="R76" s="71">
        <v>500</v>
      </c>
      <c r="S76" s="139">
        <f t="shared" si="137"/>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0</v>
      </c>
      <c r="H77" s="71">
        <v>0</v>
      </c>
      <c r="I77" s="71">
        <v>0</v>
      </c>
      <c r="J77" s="71">
        <v>0</v>
      </c>
      <c r="K77" s="71">
        <v>0</v>
      </c>
      <c r="L77" s="71">
        <v>0</v>
      </c>
      <c r="M77" s="71">
        <v>0</v>
      </c>
      <c r="N77" s="71">
        <v>0</v>
      </c>
      <c r="O77" s="71">
        <v>0</v>
      </c>
      <c r="P77" s="71">
        <v>0</v>
      </c>
      <c r="Q77" s="71">
        <v>0</v>
      </c>
      <c r="R77" s="79">
        <f>SUM(F77:Q77)</f>
        <v>0</v>
      </c>
      <c r="S77" s="139">
        <f t="shared" si="137"/>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138">+E$16</f>
        <v>12</v>
      </c>
      <c r="F78" s="79">
        <f t="shared" ref="F78:Q80" si="139">ROUND(+$R78/$E78,2)</f>
        <v>1416.67</v>
      </c>
      <c r="G78" s="79">
        <f t="shared" si="139"/>
        <v>1416.67</v>
      </c>
      <c r="H78" s="79">
        <f t="shared" si="139"/>
        <v>1416.67</v>
      </c>
      <c r="I78" s="79">
        <f t="shared" si="139"/>
        <v>1416.67</v>
      </c>
      <c r="J78" s="79">
        <f t="shared" si="139"/>
        <v>1416.67</v>
      </c>
      <c r="K78" s="79">
        <f t="shared" si="139"/>
        <v>1416.67</v>
      </c>
      <c r="L78" s="79">
        <f t="shared" si="139"/>
        <v>1416.67</v>
      </c>
      <c r="M78" s="79">
        <f t="shared" si="139"/>
        <v>1416.67</v>
      </c>
      <c r="N78" s="79">
        <f t="shared" si="139"/>
        <v>1416.67</v>
      </c>
      <c r="O78" s="79">
        <f t="shared" si="139"/>
        <v>1416.67</v>
      </c>
      <c r="P78" s="79">
        <f t="shared" si="139"/>
        <v>1416.67</v>
      </c>
      <c r="Q78" s="79">
        <f t="shared" si="139"/>
        <v>1416.67</v>
      </c>
      <c r="R78" s="71">
        <v>17000</v>
      </c>
      <c r="S78" s="139">
        <f t="shared" si="137"/>
        <v>1416.67</v>
      </c>
      <c r="T78" s="139">
        <f>SUM($F78:G78)</f>
        <v>2833.34</v>
      </c>
      <c r="U78" s="139">
        <f>SUM($F78:H78)</f>
        <v>4250.01</v>
      </c>
      <c r="V78" s="139">
        <f>SUM($F78:I78)</f>
        <v>5666.68</v>
      </c>
      <c r="W78" s="139">
        <f>SUM($F78:J78)</f>
        <v>7083.35</v>
      </c>
      <c r="X78" s="139">
        <f>SUM($F78:K78)</f>
        <v>8500.02</v>
      </c>
      <c r="Y78" s="139">
        <f>SUM($F78:L78)</f>
        <v>9916.69</v>
      </c>
      <c r="Z78" s="139">
        <f>SUM($F78:M78)</f>
        <v>11333.36</v>
      </c>
      <c r="AA78" s="139">
        <f>SUM($F78:N78)</f>
        <v>12750.03</v>
      </c>
      <c r="AB78" s="139">
        <f>SUM($F78:O78)</f>
        <v>14166.7</v>
      </c>
      <c r="AC78" s="139">
        <f>SUM($F78:P78)</f>
        <v>15583.37</v>
      </c>
      <c r="AD78" s="139">
        <f>SUM($F78:Q78)</f>
        <v>17000.04</v>
      </c>
    </row>
    <row r="79" spans="1:30" x14ac:dyDescent="0.25">
      <c r="A79" s="106">
        <v>74</v>
      </c>
      <c r="C79" s="1" t="s">
        <v>49</v>
      </c>
      <c r="E79" s="101">
        <f t="shared" si="138"/>
        <v>12</v>
      </c>
      <c r="F79" s="79">
        <f t="shared" si="139"/>
        <v>68.75</v>
      </c>
      <c r="G79" s="79">
        <f t="shared" si="139"/>
        <v>68.75</v>
      </c>
      <c r="H79" s="79">
        <f t="shared" si="139"/>
        <v>68.75</v>
      </c>
      <c r="I79" s="79">
        <f t="shared" si="139"/>
        <v>68.75</v>
      </c>
      <c r="J79" s="79">
        <f t="shared" si="139"/>
        <v>68.75</v>
      </c>
      <c r="K79" s="79">
        <f t="shared" si="139"/>
        <v>68.75</v>
      </c>
      <c r="L79" s="79">
        <f t="shared" si="139"/>
        <v>68.75</v>
      </c>
      <c r="M79" s="79">
        <f t="shared" si="139"/>
        <v>68.75</v>
      </c>
      <c r="N79" s="79">
        <f t="shared" si="139"/>
        <v>68.75</v>
      </c>
      <c r="O79" s="79">
        <f t="shared" si="139"/>
        <v>68.75</v>
      </c>
      <c r="P79" s="79">
        <f t="shared" si="139"/>
        <v>68.75</v>
      </c>
      <c r="Q79" s="79">
        <f t="shared" si="139"/>
        <v>68.75</v>
      </c>
      <c r="R79" s="71">
        <v>825</v>
      </c>
      <c r="S79" s="139">
        <f t="shared" si="137"/>
        <v>68.75</v>
      </c>
      <c r="T79" s="139">
        <f>SUM($F79:G79)</f>
        <v>137.5</v>
      </c>
      <c r="U79" s="139">
        <f>SUM($F79:H79)</f>
        <v>206.25</v>
      </c>
      <c r="V79" s="139">
        <f>SUM($F79:I79)</f>
        <v>275</v>
      </c>
      <c r="W79" s="139">
        <f>SUM($F79:J79)</f>
        <v>343.75</v>
      </c>
      <c r="X79" s="139">
        <f>SUM($F79:K79)</f>
        <v>412.5</v>
      </c>
      <c r="Y79" s="139">
        <f>SUM($F79:L79)</f>
        <v>481.25</v>
      </c>
      <c r="Z79" s="139">
        <f>SUM($F79:M79)</f>
        <v>550</v>
      </c>
      <c r="AA79" s="139">
        <f>SUM($F79:N79)</f>
        <v>618.75</v>
      </c>
      <c r="AB79" s="139">
        <f>SUM($F79:O79)</f>
        <v>687.5</v>
      </c>
      <c r="AC79" s="139">
        <f>SUM($F79:P79)</f>
        <v>756.25</v>
      </c>
      <c r="AD79" s="139">
        <f>SUM($F79:Q79)</f>
        <v>825</v>
      </c>
    </row>
    <row r="80" spans="1:30" x14ac:dyDescent="0.25">
      <c r="A80" s="106">
        <v>75</v>
      </c>
      <c r="C80" s="1" t="s">
        <v>50</v>
      </c>
      <c r="E80" s="101">
        <f t="shared" si="138"/>
        <v>12</v>
      </c>
      <c r="F80" s="79">
        <f t="shared" si="139"/>
        <v>125</v>
      </c>
      <c r="G80" s="79">
        <f t="shared" si="139"/>
        <v>125</v>
      </c>
      <c r="H80" s="79">
        <f t="shared" si="139"/>
        <v>125</v>
      </c>
      <c r="I80" s="79">
        <f t="shared" si="139"/>
        <v>125</v>
      </c>
      <c r="J80" s="79">
        <f t="shared" si="139"/>
        <v>125</v>
      </c>
      <c r="K80" s="79">
        <f t="shared" si="139"/>
        <v>125</v>
      </c>
      <c r="L80" s="79">
        <f t="shared" si="139"/>
        <v>125</v>
      </c>
      <c r="M80" s="79">
        <f t="shared" si="139"/>
        <v>125</v>
      </c>
      <c r="N80" s="79">
        <f t="shared" si="139"/>
        <v>125</v>
      </c>
      <c r="O80" s="79">
        <f t="shared" si="139"/>
        <v>125</v>
      </c>
      <c r="P80" s="79">
        <f t="shared" si="139"/>
        <v>125</v>
      </c>
      <c r="Q80" s="79">
        <f t="shared" si="139"/>
        <v>125</v>
      </c>
      <c r="R80" s="71">
        <v>1500</v>
      </c>
      <c r="S80" s="139">
        <f t="shared" si="137"/>
        <v>125</v>
      </c>
      <c r="T80" s="139">
        <f>SUM($F80:G80)</f>
        <v>250</v>
      </c>
      <c r="U80" s="139">
        <f>SUM($F80:H80)</f>
        <v>375</v>
      </c>
      <c r="V80" s="139">
        <f>SUM($F80:I80)</f>
        <v>500</v>
      </c>
      <c r="W80" s="139">
        <f>SUM($F80:J80)</f>
        <v>625</v>
      </c>
      <c r="X80" s="139">
        <f>SUM($F80:K80)</f>
        <v>750</v>
      </c>
      <c r="Y80" s="139">
        <f>SUM($F80:L80)</f>
        <v>875</v>
      </c>
      <c r="Z80" s="139">
        <f>SUM($F80:M80)</f>
        <v>1000</v>
      </c>
      <c r="AA80" s="139">
        <f>SUM($F80:N80)</f>
        <v>1125</v>
      </c>
      <c r="AB80" s="139">
        <f>SUM($F80:O80)</f>
        <v>1250</v>
      </c>
      <c r="AC80" s="139">
        <f>SUM($F80:P80)</f>
        <v>1375</v>
      </c>
      <c r="AD80" s="139">
        <f>SUM($F80:Q80)</f>
        <v>1500</v>
      </c>
    </row>
    <row r="81" spans="1:30" s="5" customFormat="1" x14ac:dyDescent="0.25">
      <c r="A81" s="106">
        <v>76</v>
      </c>
      <c r="B81" s="51" t="s">
        <v>53</v>
      </c>
      <c r="C81" s="51"/>
      <c r="D81" s="51"/>
      <c r="E81" s="93"/>
      <c r="F81" s="75">
        <f t="shared" ref="F81" si="140">SUM(F74:F80)</f>
        <v>2527.09</v>
      </c>
      <c r="G81" s="75">
        <f t="shared" ref="G81" si="141">SUM(G74:G80)</f>
        <v>2527.09</v>
      </c>
      <c r="H81" s="75">
        <f t="shared" ref="H81" si="142">SUM(H74:H80)</f>
        <v>2527.09</v>
      </c>
      <c r="I81" s="75">
        <f t="shared" ref="I81" si="143">SUM(I74:I80)</f>
        <v>2527.09</v>
      </c>
      <c r="J81" s="75">
        <f t="shared" ref="J81" si="144">SUM(J74:J80)</f>
        <v>2527.09</v>
      </c>
      <c r="K81" s="75">
        <f t="shared" ref="K81" si="145">SUM(K74:K80)</f>
        <v>2527.09</v>
      </c>
      <c r="L81" s="75">
        <f t="shared" ref="L81" si="146">SUM(L74:L80)</f>
        <v>2527.09</v>
      </c>
      <c r="M81" s="75">
        <f t="shared" ref="M81" si="147">SUM(M74:M80)</f>
        <v>2527.09</v>
      </c>
      <c r="N81" s="75">
        <f t="shared" ref="N81" si="148">SUM(N74:N80)</f>
        <v>2527.09</v>
      </c>
      <c r="O81" s="75">
        <f t="shared" ref="O81" si="149">SUM(O74:O80)</f>
        <v>2527.09</v>
      </c>
      <c r="P81" s="75">
        <f t="shared" ref="P81" si="150">SUM(P74:P80)</f>
        <v>2527.09</v>
      </c>
      <c r="Q81" s="75">
        <f t="shared" ref="Q81" si="151">SUM(Q74:Q80)</f>
        <v>2527.09</v>
      </c>
      <c r="R81" s="75">
        <f>SUM(R74:R80)</f>
        <v>30325</v>
      </c>
      <c r="S81" s="145">
        <f t="shared" ref="S81:AD81" si="152">SUM(S74:S80)</f>
        <v>2527.09</v>
      </c>
      <c r="T81" s="145">
        <f t="shared" si="152"/>
        <v>5054.18</v>
      </c>
      <c r="U81" s="145">
        <f t="shared" si="152"/>
        <v>7581.27</v>
      </c>
      <c r="V81" s="145">
        <f t="shared" si="152"/>
        <v>10108.36</v>
      </c>
      <c r="W81" s="145">
        <f t="shared" si="152"/>
        <v>12635.45</v>
      </c>
      <c r="X81" s="145">
        <f t="shared" si="152"/>
        <v>15162.54</v>
      </c>
      <c r="Y81" s="145">
        <f t="shared" si="152"/>
        <v>17689.63</v>
      </c>
      <c r="Z81" s="145">
        <f t="shared" si="152"/>
        <v>20216.72</v>
      </c>
      <c r="AA81" s="145">
        <f t="shared" si="152"/>
        <v>22743.81</v>
      </c>
      <c r="AB81" s="145">
        <f t="shared" si="152"/>
        <v>25270.9</v>
      </c>
      <c r="AC81" s="145">
        <f t="shared" si="152"/>
        <v>27797.99</v>
      </c>
      <c r="AD81" s="145">
        <f t="shared" si="152"/>
        <v>30325.08</v>
      </c>
    </row>
    <row r="82" spans="1:30" x14ac:dyDescent="0.25">
      <c r="A82" s="106">
        <v>77</v>
      </c>
      <c r="B82" s="51" t="s">
        <v>126</v>
      </c>
      <c r="C82" s="32"/>
      <c r="D82" s="32"/>
      <c r="E82" s="95"/>
      <c r="F82" s="75">
        <f t="shared" ref="F82" si="153">+F41+F43+F50+F56+F63+F71+F81+F61</f>
        <v>4502.09</v>
      </c>
      <c r="G82" s="75">
        <f t="shared" ref="G82" si="154">+G41+G43+G50+G56+G63+G71+G81+G61</f>
        <v>4502.09</v>
      </c>
      <c r="H82" s="75">
        <f t="shared" ref="H82" si="155">+H41+H43+H50+H56+H63+H71+H81+H61</f>
        <v>4568.75</v>
      </c>
      <c r="I82" s="75">
        <f t="shared" ref="I82" si="156">+I41+I43+I50+I56+I63+I71+I81+I61</f>
        <v>4568.76</v>
      </c>
      <c r="J82" s="75">
        <f t="shared" ref="J82" si="157">+J41+J43+J50+J56+J63+J71+J81+J61</f>
        <v>5268.76</v>
      </c>
      <c r="K82" s="75">
        <f t="shared" ref="K82" si="158">+K41+K43+K50+K56+K63+K71+K81+K61</f>
        <v>4502.09</v>
      </c>
      <c r="L82" s="75">
        <f t="shared" ref="L82" si="159">+L41+L43+L50+L56+L63+L71+L81+L61</f>
        <v>4502.09</v>
      </c>
      <c r="M82" s="75">
        <f t="shared" ref="M82" si="160">+M41+M43+M50+M56+M63+M71+M81+M61</f>
        <v>5252.09</v>
      </c>
      <c r="N82" s="75">
        <f t="shared" ref="N82" si="161">+N41+N43+N50+N56+N63+N71+N81+N61</f>
        <v>4289.5600000000004</v>
      </c>
      <c r="O82" s="75">
        <f t="shared" ref="O82" si="162">+O41+O43+O50+O56+O63+O71+O81+O61</f>
        <v>5722.92</v>
      </c>
      <c r="P82" s="75">
        <f t="shared" ref="P82" si="163">+P41+P43+P50+P56+P63+P71+P81+P61</f>
        <v>4652.09</v>
      </c>
      <c r="Q82" s="75">
        <f t="shared" ref="Q82" si="164">+Q41+Q43+Q50+Q56+Q63+Q71+Q81+Q61</f>
        <v>4643.75</v>
      </c>
      <c r="R82" s="75">
        <f>+R41+R43+R50+R56+R63+R71+R81+R61</f>
        <v>56975</v>
      </c>
      <c r="S82" s="145">
        <f t="shared" ref="S82:AD82" si="165">+S41+S43+S50+S56+S63+S71+S81+S61</f>
        <v>4502.09</v>
      </c>
      <c r="T82" s="145">
        <f t="shared" si="165"/>
        <v>9004.18</v>
      </c>
      <c r="U82" s="145">
        <f t="shared" si="165"/>
        <v>13572.93</v>
      </c>
      <c r="V82" s="145">
        <f t="shared" si="165"/>
        <v>18141.690000000002</v>
      </c>
      <c r="W82" s="145">
        <f t="shared" si="165"/>
        <v>23410.450000000004</v>
      </c>
      <c r="X82" s="145">
        <f t="shared" si="165"/>
        <v>27912.54</v>
      </c>
      <c r="Y82" s="145">
        <f t="shared" si="165"/>
        <v>32414.63</v>
      </c>
      <c r="Z82" s="145">
        <f t="shared" si="165"/>
        <v>37666.720000000001</v>
      </c>
      <c r="AA82" s="145">
        <f t="shared" si="165"/>
        <v>41956.28</v>
      </c>
      <c r="AB82" s="145">
        <f t="shared" si="165"/>
        <v>47679.200000000004</v>
      </c>
      <c r="AC82" s="145">
        <f t="shared" si="165"/>
        <v>52331.29</v>
      </c>
      <c r="AD82" s="145">
        <f t="shared" si="165"/>
        <v>56975.040000000001</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166">+E$16</f>
        <v>12</v>
      </c>
      <c r="F86" s="79">
        <f t="shared" ref="F86:Q90" si="167">ROUND(+$R86/$E86,2)</f>
        <v>7552.58</v>
      </c>
      <c r="G86" s="79">
        <f t="shared" si="167"/>
        <v>7552.58</v>
      </c>
      <c r="H86" s="79">
        <f t="shared" si="167"/>
        <v>7552.58</v>
      </c>
      <c r="I86" s="79">
        <f t="shared" si="167"/>
        <v>7552.58</v>
      </c>
      <c r="J86" s="79">
        <f t="shared" si="167"/>
        <v>7552.58</v>
      </c>
      <c r="K86" s="79">
        <f t="shared" si="167"/>
        <v>7552.58</v>
      </c>
      <c r="L86" s="79">
        <f t="shared" si="167"/>
        <v>7552.58</v>
      </c>
      <c r="M86" s="79">
        <f t="shared" si="167"/>
        <v>7552.58</v>
      </c>
      <c r="N86" s="79">
        <f t="shared" si="167"/>
        <v>7552.58</v>
      </c>
      <c r="O86" s="79">
        <f t="shared" si="167"/>
        <v>7552.58</v>
      </c>
      <c r="P86" s="79">
        <f t="shared" si="167"/>
        <v>7552.58</v>
      </c>
      <c r="Q86" s="79">
        <f t="shared" si="167"/>
        <v>7552.58</v>
      </c>
      <c r="R86" s="71">
        <v>90631</v>
      </c>
      <c r="S86" s="139">
        <f t="shared" ref="S86:S90" si="168">SUM(F86)</f>
        <v>7552.58</v>
      </c>
      <c r="T86" s="139">
        <f>SUM($F86:G86)</f>
        <v>15105.16</v>
      </c>
      <c r="U86" s="139">
        <f>SUM($F86:H86)</f>
        <v>22657.739999999998</v>
      </c>
      <c r="V86" s="139">
        <f>SUM($F86:I86)</f>
        <v>30210.32</v>
      </c>
      <c r="W86" s="139">
        <f>SUM($F86:J86)</f>
        <v>37762.9</v>
      </c>
      <c r="X86" s="139">
        <f>SUM($F86:K86)</f>
        <v>45315.48</v>
      </c>
      <c r="Y86" s="139">
        <f>SUM($F86:L86)</f>
        <v>52868.060000000005</v>
      </c>
      <c r="Z86" s="139">
        <f>SUM($F86:M86)</f>
        <v>60420.640000000007</v>
      </c>
      <c r="AA86" s="139">
        <f>SUM($F86:N86)</f>
        <v>67973.22</v>
      </c>
      <c r="AB86" s="139">
        <f>SUM($F86:O86)</f>
        <v>75525.8</v>
      </c>
      <c r="AC86" s="139">
        <f>SUM($F86:P86)</f>
        <v>83078.38</v>
      </c>
      <c r="AD86" s="139">
        <f>SUM($F86:Q86)</f>
        <v>90630.96</v>
      </c>
    </row>
    <row r="87" spans="1:30" x14ac:dyDescent="0.25">
      <c r="A87" s="106">
        <v>82</v>
      </c>
      <c r="C87" s="1" t="s">
        <v>55</v>
      </c>
      <c r="E87" s="101">
        <f t="shared" si="166"/>
        <v>12</v>
      </c>
      <c r="F87" s="79">
        <f t="shared" si="167"/>
        <v>250</v>
      </c>
      <c r="G87" s="79">
        <f t="shared" si="167"/>
        <v>250</v>
      </c>
      <c r="H87" s="79">
        <f t="shared" si="167"/>
        <v>250</v>
      </c>
      <c r="I87" s="79">
        <f t="shared" si="167"/>
        <v>250</v>
      </c>
      <c r="J87" s="79">
        <f t="shared" si="167"/>
        <v>250</v>
      </c>
      <c r="K87" s="79">
        <f t="shared" si="167"/>
        <v>250</v>
      </c>
      <c r="L87" s="79">
        <f t="shared" si="167"/>
        <v>250</v>
      </c>
      <c r="M87" s="79">
        <f t="shared" si="167"/>
        <v>250</v>
      </c>
      <c r="N87" s="79">
        <f t="shared" si="167"/>
        <v>250</v>
      </c>
      <c r="O87" s="79">
        <f t="shared" si="167"/>
        <v>250</v>
      </c>
      <c r="P87" s="79">
        <f t="shared" si="167"/>
        <v>250</v>
      </c>
      <c r="Q87" s="79">
        <f t="shared" si="167"/>
        <v>250</v>
      </c>
      <c r="R87" s="71">
        <v>3000</v>
      </c>
      <c r="S87" s="139">
        <f t="shared" si="168"/>
        <v>250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3000</v>
      </c>
    </row>
    <row r="88" spans="1:30" x14ac:dyDescent="0.25">
      <c r="A88" s="106">
        <v>83</v>
      </c>
      <c r="C88" s="1" t="s">
        <v>56</v>
      </c>
      <c r="E88" s="101">
        <f t="shared" si="166"/>
        <v>12</v>
      </c>
      <c r="F88" s="79">
        <f t="shared" si="167"/>
        <v>2836.17</v>
      </c>
      <c r="G88" s="79">
        <f t="shared" si="167"/>
        <v>2836.17</v>
      </c>
      <c r="H88" s="79">
        <f t="shared" si="167"/>
        <v>2836.17</v>
      </c>
      <c r="I88" s="79">
        <f t="shared" si="167"/>
        <v>2836.17</v>
      </c>
      <c r="J88" s="79">
        <f t="shared" si="167"/>
        <v>2836.17</v>
      </c>
      <c r="K88" s="79">
        <f t="shared" si="167"/>
        <v>2836.17</v>
      </c>
      <c r="L88" s="79">
        <f t="shared" si="167"/>
        <v>2836.17</v>
      </c>
      <c r="M88" s="79">
        <f t="shared" si="167"/>
        <v>2836.17</v>
      </c>
      <c r="N88" s="79">
        <f t="shared" si="167"/>
        <v>2836.17</v>
      </c>
      <c r="O88" s="79">
        <f t="shared" si="167"/>
        <v>2836.17</v>
      </c>
      <c r="P88" s="79">
        <f t="shared" si="167"/>
        <v>2836.17</v>
      </c>
      <c r="Q88" s="79">
        <f t="shared" si="167"/>
        <v>2836.17</v>
      </c>
      <c r="R88" s="71">
        <v>34034</v>
      </c>
      <c r="S88" s="139">
        <f t="shared" si="168"/>
        <v>2836.17</v>
      </c>
      <c r="T88" s="139">
        <f>SUM($F88:G88)</f>
        <v>5672.34</v>
      </c>
      <c r="U88" s="139">
        <f>SUM($F88:H88)</f>
        <v>8508.51</v>
      </c>
      <c r="V88" s="139">
        <f>SUM($F88:I88)</f>
        <v>11344.68</v>
      </c>
      <c r="W88" s="139">
        <f>SUM($F88:J88)</f>
        <v>14180.85</v>
      </c>
      <c r="X88" s="139">
        <f>SUM($F88:K88)</f>
        <v>17017.02</v>
      </c>
      <c r="Y88" s="139">
        <f>SUM($F88:L88)</f>
        <v>19853.190000000002</v>
      </c>
      <c r="Z88" s="139">
        <f>SUM($F88:M88)</f>
        <v>22689.360000000001</v>
      </c>
      <c r="AA88" s="139">
        <f>SUM($F88:N88)</f>
        <v>25525.53</v>
      </c>
      <c r="AB88" s="139">
        <f>SUM($F88:O88)</f>
        <v>28361.699999999997</v>
      </c>
      <c r="AC88" s="139">
        <f>SUM($F88:P88)</f>
        <v>31197.869999999995</v>
      </c>
      <c r="AD88" s="139">
        <f>SUM($F88:Q88)</f>
        <v>34034.039999999994</v>
      </c>
    </row>
    <row r="89" spans="1:30" x14ac:dyDescent="0.25">
      <c r="A89" s="106">
        <v>84</v>
      </c>
      <c r="C89" s="1" t="s">
        <v>57</v>
      </c>
      <c r="E89" s="101">
        <f t="shared" si="166"/>
        <v>12</v>
      </c>
      <c r="F89" s="79">
        <f t="shared" si="167"/>
        <v>333.33</v>
      </c>
      <c r="G89" s="79">
        <f t="shared" si="167"/>
        <v>333.33</v>
      </c>
      <c r="H89" s="79">
        <f t="shared" si="167"/>
        <v>333.33</v>
      </c>
      <c r="I89" s="79">
        <f t="shared" si="167"/>
        <v>333.33</v>
      </c>
      <c r="J89" s="79">
        <f t="shared" si="167"/>
        <v>333.33</v>
      </c>
      <c r="K89" s="79">
        <f t="shared" si="167"/>
        <v>333.33</v>
      </c>
      <c r="L89" s="79">
        <f t="shared" si="167"/>
        <v>333.33</v>
      </c>
      <c r="M89" s="79">
        <f t="shared" si="167"/>
        <v>333.33</v>
      </c>
      <c r="N89" s="79">
        <f t="shared" si="167"/>
        <v>333.33</v>
      </c>
      <c r="O89" s="79">
        <f t="shared" si="167"/>
        <v>333.33</v>
      </c>
      <c r="P89" s="79">
        <f t="shared" si="167"/>
        <v>333.33</v>
      </c>
      <c r="Q89" s="79">
        <f t="shared" si="167"/>
        <v>333.33</v>
      </c>
      <c r="R89" s="71">
        <v>4000</v>
      </c>
      <c r="S89" s="139">
        <f t="shared" si="16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166"/>
        <v>12</v>
      </c>
      <c r="F90" s="79">
        <f t="shared" si="167"/>
        <v>250</v>
      </c>
      <c r="G90" s="79">
        <f t="shared" si="167"/>
        <v>250</v>
      </c>
      <c r="H90" s="79">
        <f t="shared" si="167"/>
        <v>250</v>
      </c>
      <c r="I90" s="79">
        <f t="shared" si="167"/>
        <v>250</v>
      </c>
      <c r="J90" s="79">
        <f t="shared" si="167"/>
        <v>250</v>
      </c>
      <c r="K90" s="79">
        <f t="shared" si="167"/>
        <v>250</v>
      </c>
      <c r="L90" s="79">
        <f t="shared" si="167"/>
        <v>250</v>
      </c>
      <c r="M90" s="79">
        <f t="shared" si="167"/>
        <v>250</v>
      </c>
      <c r="N90" s="79">
        <f t="shared" si="167"/>
        <v>250</v>
      </c>
      <c r="O90" s="79">
        <f t="shared" si="167"/>
        <v>250</v>
      </c>
      <c r="P90" s="79">
        <f t="shared" si="167"/>
        <v>250</v>
      </c>
      <c r="Q90" s="79">
        <f t="shared" si="167"/>
        <v>250</v>
      </c>
      <c r="R90" s="71">
        <v>3000</v>
      </c>
      <c r="S90" s="139">
        <f t="shared" si="16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 si="169">SUM(F86:F90)</f>
        <v>11222.08</v>
      </c>
      <c r="G91" s="80">
        <f t="shared" ref="G91" si="170">SUM(G86:G90)</f>
        <v>11222.08</v>
      </c>
      <c r="H91" s="80">
        <f t="shared" ref="H91" si="171">SUM(H86:H90)</f>
        <v>11222.08</v>
      </c>
      <c r="I91" s="80">
        <f t="shared" ref="I91" si="172">SUM(I86:I90)</f>
        <v>11222.08</v>
      </c>
      <c r="J91" s="80">
        <f t="shared" ref="J91" si="173">SUM(J86:J90)</f>
        <v>11222.08</v>
      </c>
      <c r="K91" s="80">
        <f t="shared" ref="K91" si="174">SUM(K86:K90)</f>
        <v>11222.08</v>
      </c>
      <c r="L91" s="80">
        <f t="shared" ref="L91" si="175">SUM(L86:L90)</f>
        <v>11222.08</v>
      </c>
      <c r="M91" s="80">
        <f t="shared" ref="M91" si="176">SUM(M86:M90)</f>
        <v>11222.08</v>
      </c>
      <c r="N91" s="80">
        <f t="shared" ref="N91" si="177">SUM(N86:N90)</f>
        <v>11222.08</v>
      </c>
      <c r="O91" s="80">
        <f t="shared" ref="O91" si="178">SUM(O86:O90)</f>
        <v>11222.08</v>
      </c>
      <c r="P91" s="80">
        <f t="shared" ref="P91" si="179">SUM(P86:P90)</f>
        <v>11222.08</v>
      </c>
      <c r="Q91" s="80">
        <f t="shared" ref="Q91" si="180">SUM(Q86:Q90)</f>
        <v>11222.08</v>
      </c>
      <c r="R91" s="80">
        <f>SUM(R86:R90)</f>
        <v>134665</v>
      </c>
      <c r="S91" s="149">
        <f t="shared" ref="S91:AD91" si="181">SUM(S86:S90)</f>
        <v>11222.08</v>
      </c>
      <c r="T91" s="149">
        <f t="shared" si="181"/>
        <v>22444.16</v>
      </c>
      <c r="U91" s="149">
        <f t="shared" si="181"/>
        <v>33666.239999999998</v>
      </c>
      <c r="V91" s="149">
        <f t="shared" si="181"/>
        <v>44888.32</v>
      </c>
      <c r="W91" s="149">
        <f t="shared" si="181"/>
        <v>56110.400000000001</v>
      </c>
      <c r="X91" s="149">
        <f t="shared" si="181"/>
        <v>67332.479999999996</v>
      </c>
      <c r="Y91" s="149">
        <f t="shared" si="181"/>
        <v>78554.559999999998</v>
      </c>
      <c r="Z91" s="149">
        <f t="shared" si="181"/>
        <v>89776.639999999999</v>
      </c>
      <c r="AA91" s="149">
        <f t="shared" si="181"/>
        <v>100998.72</v>
      </c>
      <c r="AB91" s="149">
        <f t="shared" si="181"/>
        <v>112220.8</v>
      </c>
      <c r="AC91" s="149">
        <f t="shared" si="181"/>
        <v>123442.88</v>
      </c>
      <c r="AD91" s="149">
        <f t="shared" si="181"/>
        <v>134664.95999999999</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182">+E$16</f>
        <v>12</v>
      </c>
      <c r="F94" s="79">
        <f t="shared" ref="F94:Q95" si="183">ROUND(+$R94/$E94,2)</f>
        <v>958.92</v>
      </c>
      <c r="G94" s="79">
        <f t="shared" si="183"/>
        <v>958.92</v>
      </c>
      <c r="H94" s="79">
        <f t="shared" si="183"/>
        <v>958.92</v>
      </c>
      <c r="I94" s="79">
        <f t="shared" si="183"/>
        <v>958.92</v>
      </c>
      <c r="J94" s="79">
        <f t="shared" si="183"/>
        <v>958.92</v>
      </c>
      <c r="K94" s="79">
        <f t="shared" si="183"/>
        <v>958.92</v>
      </c>
      <c r="L94" s="79">
        <f t="shared" si="183"/>
        <v>958.92</v>
      </c>
      <c r="M94" s="79">
        <f t="shared" si="183"/>
        <v>958.92</v>
      </c>
      <c r="N94" s="79">
        <f t="shared" si="183"/>
        <v>958.92</v>
      </c>
      <c r="O94" s="79">
        <f t="shared" si="183"/>
        <v>958.92</v>
      </c>
      <c r="P94" s="79">
        <f t="shared" si="183"/>
        <v>958.92</v>
      </c>
      <c r="Q94" s="79">
        <f t="shared" si="183"/>
        <v>958.92</v>
      </c>
      <c r="R94" s="71">
        <v>11507</v>
      </c>
      <c r="S94" s="139">
        <f t="shared" ref="S94:S95" si="184">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182"/>
        <v>12</v>
      </c>
      <c r="F95" s="79">
        <f t="shared" si="183"/>
        <v>416.67</v>
      </c>
      <c r="G95" s="79">
        <f t="shared" si="183"/>
        <v>416.67</v>
      </c>
      <c r="H95" s="79">
        <f t="shared" si="183"/>
        <v>416.67</v>
      </c>
      <c r="I95" s="79">
        <f t="shared" si="183"/>
        <v>416.67</v>
      </c>
      <c r="J95" s="79">
        <f t="shared" si="183"/>
        <v>416.67</v>
      </c>
      <c r="K95" s="79">
        <f t="shared" si="183"/>
        <v>416.67</v>
      </c>
      <c r="L95" s="79">
        <f t="shared" si="183"/>
        <v>416.67</v>
      </c>
      <c r="M95" s="79">
        <f t="shared" si="183"/>
        <v>416.67</v>
      </c>
      <c r="N95" s="79">
        <f t="shared" si="183"/>
        <v>416.67</v>
      </c>
      <c r="O95" s="79">
        <f t="shared" si="183"/>
        <v>416.67</v>
      </c>
      <c r="P95" s="79">
        <f t="shared" si="183"/>
        <v>416.67</v>
      </c>
      <c r="Q95" s="79">
        <f t="shared" si="183"/>
        <v>416.67</v>
      </c>
      <c r="R95" s="71">
        <v>5000</v>
      </c>
      <c r="S95" s="139">
        <f t="shared" si="184"/>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 si="185">SUM(F94:F95)</f>
        <v>1375.59</v>
      </c>
      <c r="G96" s="80">
        <f t="shared" ref="G96" si="186">SUM(G94:G95)</f>
        <v>1375.59</v>
      </c>
      <c r="H96" s="80">
        <f t="shared" ref="H96" si="187">SUM(H94:H95)</f>
        <v>1375.59</v>
      </c>
      <c r="I96" s="80">
        <f t="shared" ref="I96" si="188">SUM(I94:I95)</f>
        <v>1375.59</v>
      </c>
      <c r="J96" s="80">
        <f t="shared" ref="J96" si="189">SUM(J94:J95)</f>
        <v>1375.59</v>
      </c>
      <c r="K96" s="80">
        <f t="shared" ref="K96" si="190">SUM(K94:K95)</f>
        <v>1375.59</v>
      </c>
      <c r="L96" s="80">
        <f t="shared" ref="L96" si="191">SUM(L94:L95)</f>
        <v>1375.59</v>
      </c>
      <c r="M96" s="80">
        <f t="shared" ref="M96" si="192">SUM(M94:M95)</f>
        <v>1375.59</v>
      </c>
      <c r="N96" s="80">
        <f t="shared" ref="N96" si="193">SUM(N94:N95)</f>
        <v>1375.59</v>
      </c>
      <c r="O96" s="80">
        <f t="shared" ref="O96" si="194">SUM(O94:O95)</f>
        <v>1375.59</v>
      </c>
      <c r="P96" s="80">
        <f t="shared" ref="P96" si="195">SUM(P94:P95)</f>
        <v>1375.59</v>
      </c>
      <c r="Q96" s="80">
        <f t="shared" ref="Q96" si="196">SUM(Q94:Q95)</f>
        <v>1375.59</v>
      </c>
      <c r="R96" s="80">
        <f>SUM(R94:R95)</f>
        <v>16507</v>
      </c>
      <c r="S96" s="149">
        <f t="shared" ref="S96:AD96" si="197">SUM(S94:S95)</f>
        <v>1375.59</v>
      </c>
      <c r="T96" s="149">
        <f t="shared" si="197"/>
        <v>2751.18</v>
      </c>
      <c r="U96" s="149">
        <f t="shared" si="197"/>
        <v>4126.7699999999995</v>
      </c>
      <c r="V96" s="149">
        <f t="shared" si="197"/>
        <v>5502.36</v>
      </c>
      <c r="W96" s="149">
        <f t="shared" si="197"/>
        <v>6877.9499999999989</v>
      </c>
      <c r="X96" s="149">
        <f t="shared" si="197"/>
        <v>8253.5399999999991</v>
      </c>
      <c r="Y96" s="149">
        <f t="shared" si="197"/>
        <v>9629.1299999999992</v>
      </c>
      <c r="Z96" s="149">
        <f t="shared" si="197"/>
        <v>11004.72</v>
      </c>
      <c r="AA96" s="149">
        <f t="shared" si="197"/>
        <v>12380.31</v>
      </c>
      <c r="AB96" s="149">
        <f t="shared" si="197"/>
        <v>13755.899999999998</v>
      </c>
      <c r="AC96" s="149">
        <f t="shared" si="197"/>
        <v>15131.489999999998</v>
      </c>
      <c r="AD96" s="149">
        <f t="shared" si="197"/>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198">+E$16</f>
        <v>12</v>
      </c>
      <c r="F99" s="79">
        <f t="shared" ref="F99:Q100" si="199">ROUND(+$R99/$E99,2)</f>
        <v>1160.58</v>
      </c>
      <c r="G99" s="79">
        <f t="shared" si="199"/>
        <v>1160.58</v>
      </c>
      <c r="H99" s="79">
        <f t="shared" si="199"/>
        <v>1160.58</v>
      </c>
      <c r="I99" s="79">
        <f t="shared" si="199"/>
        <v>1160.58</v>
      </c>
      <c r="J99" s="79">
        <f t="shared" si="199"/>
        <v>1160.58</v>
      </c>
      <c r="K99" s="79">
        <f t="shared" si="199"/>
        <v>1160.58</v>
      </c>
      <c r="L99" s="79">
        <f t="shared" si="199"/>
        <v>1160.58</v>
      </c>
      <c r="M99" s="79">
        <f t="shared" si="199"/>
        <v>1160.58</v>
      </c>
      <c r="N99" s="79">
        <f t="shared" si="199"/>
        <v>1160.58</v>
      </c>
      <c r="O99" s="79">
        <f t="shared" si="199"/>
        <v>1160.58</v>
      </c>
      <c r="P99" s="79">
        <f t="shared" si="199"/>
        <v>1160.58</v>
      </c>
      <c r="Q99" s="79">
        <f t="shared" si="199"/>
        <v>1160.58</v>
      </c>
      <c r="R99" s="71">
        <v>13927</v>
      </c>
      <c r="S99" s="139">
        <f t="shared" ref="S99:S100" si="200">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199"/>
        <v>93.75</v>
      </c>
      <c r="G100" s="79">
        <f t="shared" si="199"/>
        <v>93.75</v>
      </c>
      <c r="H100" s="79">
        <f t="shared" si="199"/>
        <v>93.75</v>
      </c>
      <c r="I100" s="79">
        <f t="shared" si="199"/>
        <v>93.75</v>
      </c>
      <c r="J100" s="71">
        <v>0</v>
      </c>
      <c r="K100" s="71">
        <v>0</v>
      </c>
      <c r="L100" s="71">
        <v>0</v>
      </c>
      <c r="M100" s="71">
        <v>0</v>
      </c>
      <c r="N100" s="221">
        <f>ROUND(+$R100/$E100,2)-469+563-0.25</f>
        <v>187.5</v>
      </c>
      <c r="O100" s="222">
        <f>ROUND(+$R100/$E100,2)-656.5+625+0.25</f>
        <v>62.5</v>
      </c>
      <c r="P100" s="222">
        <f>ROUND(+$R100/$E100,2)-93.75+62.25</f>
        <v>62.25</v>
      </c>
      <c r="Q100" s="221">
        <f>ROUND(+$R100/$E100,2)-844+750+656.5-625+62.25-93.75-687+750</f>
        <v>62.75</v>
      </c>
      <c r="R100" s="71">
        <v>750</v>
      </c>
      <c r="S100" s="139">
        <f t="shared" si="200"/>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562.5</v>
      </c>
      <c r="AB100" s="139">
        <f>SUM($F100:O100)</f>
        <v>625</v>
      </c>
      <c r="AC100" s="139">
        <f>SUM($F100:P100)</f>
        <v>687.25</v>
      </c>
      <c r="AD100" s="139">
        <f>SUM($F100:Q100)</f>
        <v>750</v>
      </c>
    </row>
    <row r="101" spans="1:30" s="5" customFormat="1" x14ac:dyDescent="0.25">
      <c r="A101" s="106">
        <v>96</v>
      </c>
      <c r="B101" s="33" t="s">
        <v>66</v>
      </c>
      <c r="C101" s="33"/>
      <c r="D101" s="33"/>
      <c r="E101" s="96"/>
      <c r="F101" s="80">
        <f t="shared" ref="F101" si="201">SUM(F99:F100)</f>
        <v>1254.33</v>
      </c>
      <c r="G101" s="80">
        <f t="shared" ref="G101" si="202">SUM(G99:G100)</f>
        <v>1254.33</v>
      </c>
      <c r="H101" s="80">
        <f t="shared" ref="H101" si="203">SUM(H99:H100)</f>
        <v>1254.33</v>
      </c>
      <c r="I101" s="80">
        <f t="shared" ref="I101" si="204">SUM(I99:I100)</f>
        <v>1254.33</v>
      </c>
      <c r="J101" s="80">
        <f t="shared" ref="J101" si="205">SUM(J99:J100)</f>
        <v>1160.58</v>
      </c>
      <c r="K101" s="80">
        <f t="shared" ref="K101" si="206">SUM(K99:K100)</f>
        <v>1160.58</v>
      </c>
      <c r="L101" s="80">
        <f t="shared" ref="L101" si="207">SUM(L99:L100)</f>
        <v>1160.58</v>
      </c>
      <c r="M101" s="80">
        <f t="shared" ref="M101" si="208">SUM(M99:M100)</f>
        <v>1160.58</v>
      </c>
      <c r="N101" s="80">
        <f t="shared" ref="N101" si="209">SUM(N99:N100)</f>
        <v>1348.08</v>
      </c>
      <c r="O101" s="80">
        <f t="shared" ref="O101" si="210">SUM(O99:O100)</f>
        <v>1223.08</v>
      </c>
      <c r="P101" s="80">
        <f t="shared" ref="P101" si="211">SUM(P99:P100)</f>
        <v>1222.83</v>
      </c>
      <c r="Q101" s="80">
        <f t="shared" ref="Q101" si="212">SUM(Q99:Q100)</f>
        <v>1223.33</v>
      </c>
      <c r="R101" s="80">
        <f>SUM(R99:R100)</f>
        <v>14677</v>
      </c>
      <c r="S101" s="149">
        <f t="shared" ref="S101:AD101" si="213">SUM(S99:S100)</f>
        <v>1254.33</v>
      </c>
      <c r="T101" s="149">
        <f t="shared" si="213"/>
        <v>2508.66</v>
      </c>
      <c r="U101" s="149">
        <f t="shared" si="213"/>
        <v>3762.99</v>
      </c>
      <c r="V101" s="149">
        <f t="shared" si="213"/>
        <v>5017.32</v>
      </c>
      <c r="W101" s="149">
        <f t="shared" si="213"/>
        <v>6177.9</v>
      </c>
      <c r="X101" s="149">
        <f t="shared" si="213"/>
        <v>7338.48</v>
      </c>
      <c r="Y101" s="149">
        <f t="shared" si="213"/>
        <v>8499.06</v>
      </c>
      <c r="Z101" s="149">
        <f t="shared" si="213"/>
        <v>9659.64</v>
      </c>
      <c r="AA101" s="149">
        <f t="shared" si="213"/>
        <v>11007.72</v>
      </c>
      <c r="AB101" s="149">
        <f t="shared" si="213"/>
        <v>12230.8</v>
      </c>
      <c r="AC101" s="149">
        <f t="shared" si="213"/>
        <v>13453.63</v>
      </c>
      <c r="AD101" s="149">
        <f t="shared" si="213"/>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214">+E$16</f>
        <v>12</v>
      </c>
      <c r="F104" s="79">
        <f t="shared" ref="F104:Q109" si="215">ROUND(+$R104/$E104,2)</f>
        <v>2971.17</v>
      </c>
      <c r="G104" s="79">
        <f t="shared" si="215"/>
        <v>2971.17</v>
      </c>
      <c r="H104" s="79">
        <f t="shared" si="215"/>
        <v>2971.17</v>
      </c>
      <c r="I104" s="79">
        <f t="shared" si="215"/>
        <v>2971.17</v>
      </c>
      <c r="J104" s="79">
        <f t="shared" si="215"/>
        <v>2971.17</v>
      </c>
      <c r="K104" s="79">
        <f t="shared" si="215"/>
        <v>2971.17</v>
      </c>
      <c r="L104" s="79">
        <f t="shared" si="215"/>
        <v>2971.17</v>
      </c>
      <c r="M104" s="79">
        <f t="shared" si="215"/>
        <v>2971.17</v>
      </c>
      <c r="N104" s="79">
        <f t="shared" si="215"/>
        <v>2971.17</v>
      </c>
      <c r="O104" s="79">
        <f t="shared" si="215"/>
        <v>2971.17</v>
      </c>
      <c r="P104" s="79">
        <f t="shared" si="215"/>
        <v>2971.17</v>
      </c>
      <c r="Q104" s="79">
        <f t="shared" si="215"/>
        <v>2971.17</v>
      </c>
      <c r="R104" s="71">
        <v>35654</v>
      </c>
      <c r="S104" s="139">
        <f t="shared" ref="S104:S109" si="216">SUM(F104)</f>
        <v>2971.17</v>
      </c>
      <c r="T104" s="139">
        <f>SUM($F104:G104)</f>
        <v>5942.34</v>
      </c>
      <c r="U104" s="139">
        <f>SUM($F104:H104)</f>
        <v>8913.51</v>
      </c>
      <c r="V104" s="139">
        <f>SUM($F104:I104)</f>
        <v>11884.68</v>
      </c>
      <c r="W104" s="139">
        <f>SUM($F104:J104)</f>
        <v>14855.85</v>
      </c>
      <c r="X104" s="139">
        <f>SUM($F104:K104)</f>
        <v>17827.02</v>
      </c>
      <c r="Y104" s="139">
        <f>SUM($F104:L104)</f>
        <v>20798.190000000002</v>
      </c>
      <c r="Z104" s="139">
        <f>SUM($F104:M104)</f>
        <v>23769.360000000001</v>
      </c>
      <c r="AA104" s="139">
        <f>SUM($F104:N104)</f>
        <v>26740.53</v>
      </c>
      <c r="AB104" s="139">
        <f>SUM($F104:O104)</f>
        <v>29711.699999999997</v>
      </c>
      <c r="AC104" s="139">
        <f>SUM($F104:P104)</f>
        <v>32682.869999999995</v>
      </c>
      <c r="AD104" s="139">
        <f>SUM($F104:Q104)</f>
        <v>35654.039999999994</v>
      </c>
    </row>
    <row r="105" spans="1:30" x14ac:dyDescent="0.25">
      <c r="A105" s="106">
        <v>100</v>
      </c>
      <c r="C105" s="1" t="s">
        <v>56</v>
      </c>
      <c r="E105" s="101">
        <f t="shared" si="214"/>
        <v>12</v>
      </c>
      <c r="F105" s="79">
        <f t="shared" si="215"/>
        <v>395.17</v>
      </c>
      <c r="G105" s="79">
        <f t="shared" si="215"/>
        <v>395.17</v>
      </c>
      <c r="H105" s="79">
        <f t="shared" si="215"/>
        <v>395.17</v>
      </c>
      <c r="I105" s="79">
        <f t="shared" si="215"/>
        <v>395.17</v>
      </c>
      <c r="J105" s="79">
        <f t="shared" si="215"/>
        <v>395.17</v>
      </c>
      <c r="K105" s="79">
        <f t="shared" si="215"/>
        <v>395.17</v>
      </c>
      <c r="L105" s="79">
        <f t="shared" si="215"/>
        <v>395.17</v>
      </c>
      <c r="M105" s="79">
        <f t="shared" si="215"/>
        <v>395.17</v>
      </c>
      <c r="N105" s="79">
        <f t="shared" si="215"/>
        <v>395.17</v>
      </c>
      <c r="O105" s="79">
        <f t="shared" si="215"/>
        <v>395.17</v>
      </c>
      <c r="P105" s="79">
        <f t="shared" si="215"/>
        <v>395.17</v>
      </c>
      <c r="Q105" s="79">
        <f t="shared" si="215"/>
        <v>395.17</v>
      </c>
      <c r="R105" s="71">
        <v>4742</v>
      </c>
      <c r="S105" s="139">
        <f t="shared" si="216"/>
        <v>395.17</v>
      </c>
      <c r="T105" s="139">
        <f>SUM($F105:G105)</f>
        <v>790.34</v>
      </c>
      <c r="U105" s="139">
        <f>SUM($F105:H105)</f>
        <v>1185.51</v>
      </c>
      <c r="V105" s="139">
        <f>SUM($F105:I105)</f>
        <v>1580.68</v>
      </c>
      <c r="W105" s="139">
        <f>SUM($F105:J105)</f>
        <v>1975.8500000000001</v>
      </c>
      <c r="X105" s="139">
        <f>SUM($F105:K105)</f>
        <v>2371.02</v>
      </c>
      <c r="Y105" s="139">
        <f>SUM($F105:L105)</f>
        <v>2766.19</v>
      </c>
      <c r="Z105" s="139">
        <f>SUM($F105:M105)</f>
        <v>3161.36</v>
      </c>
      <c r="AA105" s="139">
        <f>SUM($F105:N105)</f>
        <v>3556.53</v>
      </c>
      <c r="AB105" s="139">
        <f>SUM($F105:O105)</f>
        <v>3951.7000000000003</v>
      </c>
      <c r="AC105" s="139">
        <f>SUM($F105:P105)</f>
        <v>4346.87</v>
      </c>
      <c r="AD105" s="139">
        <f>SUM($F105:Q105)</f>
        <v>4742.04</v>
      </c>
    </row>
    <row r="106" spans="1:30" x14ac:dyDescent="0.25">
      <c r="A106" s="106">
        <v>101</v>
      </c>
      <c r="C106" s="1" t="s">
        <v>58</v>
      </c>
      <c r="E106" s="101">
        <f t="shared" si="214"/>
        <v>12</v>
      </c>
      <c r="F106" s="79">
        <f t="shared" si="215"/>
        <v>62.5</v>
      </c>
      <c r="G106" s="79">
        <f t="shared" si="215"/>
        <v>62.5</v>
      </c>
      <c r="H106" s="79">
        <f t="shared" si="215"/>
        <v>62.5</v>
      </c>
      <c r="I106" s="79">
        <f t="shared" si="215"/>
        <v>62.5</v>
      </c>
      <c r="J106" s="79">
        <f t="shared" si="215"/>
        <v>62.5</v>
      </c>
      <c r="K106" s="79">
        <f t="shared" si="215"/>
        <v>62.5</v>
      </c>
      <c r="L106" s="79">
        <f t="shared" si="215"/>
        <v>62.5</v>
      </c>
      <c r="M106" s="79">
        <f t="shared" si="215"/>
        <v>62.5</v>
      </c>
      <c r="N106" s="79">
        <f t="shared" si="215"/>
        <v>62.5</v>
      </c>
      <c r="O106" s="79">
        <f t="shared" si="215"/>
        <v>62.5</v>
      </c>
      <c r="P106" s="79">
        <f t="shared" si="215"/>
        <v>62.5</v>
      </c>
      <c r="Q106" s="79">
        <f t="shared" si="215"/>
        <v>62.5</v>
      </c>
      <c r="R106" s="71">
        <v>750</v>
      </c>
      <c r="S106" s="139">
        <f t="shared" si="216"/>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214"/>
        <v>12</v>
      </c>
      <c r="F107" s="79">
        <f t="shared" si="215"/>
        <v>166.67</v>
      </c>
      <c r="G107" s="79">
        <f t="shared" si="215"/>
        <v>166.67</v>
      </c>
      <c r="H107" s="79">
        <f t="shared" si="215"/>
        <v>166.67</v>
      </c>
      <c r="I107" s="79">
        <f t="shared" si="215"/>
        <v>166.67</v>
      </c>
      <c r="J107" s="79">
        <f t="shared" si="215"/>
        <v>166.67</v>
      </c>
      <c r="K107" s="79">
        <f t="shared" si="215"/>
        <v>166.67</v>
      </c>
      <c r="L107" s="79">
        <f t="shared" si="215"/>
        <v>166.67</v>
      </c>
      <c r="M107" s="79">
        <f t="shared" si="215"/>
        <v>166.67</v>
      </c>
      <c r="N107" s="79">
        <f t="shared" si="215"/>
        <v>166.67</v>
      </c>
      <c r="O107" s="79">
        <f t="shared" si="215"/>
        <v>166.67</v>
      </c>
      <c r="P107" s="79">
        <f t="shared" si="215"/>
        <v>166.67</v>
      </c>
      <c r="Q107" s="79">
        <f t="shared" si="215"/>
        <v>166.67</v>
      </c>
      <c r="R107" s="71">
        <v>2000</v>
      </c>
      <c r="S107" s="139">
        <f t="shared" si="216"/>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214"/>
        <v>12</v>
      </c>
      <c r="F108" s="79">
        <f t="shared" si="215"/>
        <v>125</v>
      </c>
      <c r="G108" s="79">
        <f t="shared" si="215"/>
        <v>125</v>
      </c>
      <c r="H108" s="79">
        <f t="shared" si="215"/>
        <v>125</v>
      </c>
      <c r="I108" s="79">
        <f t="shared" si="215"/>
        <v>125</v>
      </c>
      <c r="J108" s="79">
        <f t="shared" si="215"/>
        <v>125</v>
      </c>
      <c r="K108" s="79">
        <f t="shared" si="215"/>
        <v>125</v>
      </c>
      <c r="L108" s="79">
        <f t="shared" si="215"/>
        <v>125</v>
      </c>
      <c r="M108" s="79">
        <f t="shared" si="215"/>
        <v>125</v>
      </c>
      <c r="N108" s="79">
        <f t="shared" si="215"/>
        <v>125</v>
      </c>
      <c r="O108" s="79">
        <f t="shared" si="215"/>
        <v>125</v>
      </c>
      <c r="P108" s="79">
        <f t="shared" si="215"/>
        <v>125</v>
      </c>
      <c r="Q108" s="79">
        <f t="shared" si="215"/>
        <v>125</v>
      </c>
      <c r="R108" s="71">
        <v>1500</v>
      </c>
      <c r="S108" s="139">
        <f t="shared" si="216"/>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214"/>
        <v>12</v>
      </c>
      <c r="F109" s="79">
        <f t="shared" si="215"/>
        <v>106</v>
      </c>
      <c r="G109" s="79">
        <f t="shared" si="215"/>
        <v>106</v>
      </c>
      <c r="H109" s="79">
        <f t="shared" si="215"/>
        <v>106</v>
      </c>
      <c r="I109" s="79">
        <f t="shared" si="215"/>
        <v>106</v>
      </c>
      <c r="J109" s="79">
        <f t="shared" si="215"/>
        <v>106</v>
      </c>
      <c r="K109" s="79">
        <f t="shared" si="215"/>
        <v>106</v>
      </c>
      <c r="L109" s="79">
        <f t="shared" si="215"/>
        <v>106</v>
      </c>
      <c r="M109" s="79">
        <f t="shared" si="215"/>
        <v>106</v>
      </c>
      <c r="N109" s="79">
        <f t="shared" si="215"/>
        <v>106</v>
      </c>
      <c r="O109" s="79">
        <f t="shared" si="215"/>
        <v>106</v>
      </c>
      <c r="P109" s="79">
        <f t="shared" si="215"/>
        <v>106</v>
      </c>
      <c r="Q109" s="79">
        <f t="shared" si="215"/>
        <v>106</v>
      </c>
      <c r="R109" s="71">
        <v>1272</v>
      </c>
      <c r="S109" s="139">
        <f t="shared" si="216"/>
        <v>106</v>
      </c>
      <c r="T109" s="139">
        <f>SUM($F109:G109)</f>
        <v>212</v>
      </c>
      <c r="U109" s="139">
        <f>SUM($F109:H109)</f>
        <v>318</v>
      </c>
      <c r="V109" s="139">
        <f>SUM($F109:I109)</f>
        <v>424</v>
      </c>
      <c r="W109" s="139">
        <f>SUM($F109:J109)</f>
        <v>530</v>
      </c>
      <c r="X109" s="139">
        <f>SUM($F109:K109)</f>
        <v>636</v>
      </c>
      <c r="Y109" s="139">
        <f>SUM($F109:L109)</f>
        <v>742</v>
      </c>
      <c r="Z109" s="139">
        <f>SUM($F109:M109)</f>
        <v>848</v>
      </c>
      <c r="AA109" s="139">
        <f>SUM($F109:N109)</f>
        <v>954</v>
      </c>
      <c r="AB109" s="139">
        <f>SUM($F109:O109)</f>
        <v>1060</v>
      </c>
      <c r="AC109" s="139">
        <f>SUM($F109:P109)</f>
        <v>1166</v>
      </c>
      <c r="AD109" s="139">
        <f>SUM($F109:Q109)</f>
        <v>1272</v>
      </c>
    </row>
    <row r="110" spans="1:30" s="5" customFormat="1" x14ac:dyDescent="0.25">
      <c r="A110" s="106">
        <v>105</v>
      </c>
      <c r="B110" s="33" t="s">
        <v>69</v>
      </c>
      <c r="C110" s="33"/>
      <c r="D110" s="33"/>
      <c r="E110" s="96"/>
      <c r="F110" s="80">
        <f t="shared" ref="F110" si="217">SUM(F104:F109)</f>
        <v>3826.51</v>
      </c>
      <c r="G110" s="80">
        <f t="shared" ref="G110" si="218">SUM(G104:G109)</f>
        <v>3826.51</v>
      </c>
      <c r="H110" s="80">
        <f t="shared" ref="H110" si="219">SUM(H104:H109)</f>
        <v>3826.51</v>
      </c>
      <c r="I110" s="80">
        <f t="shared" ref="I110" si="220">SUM(I104:I109)</f>
        <v>3826.51</v>
      </c>
      <c r="J110" s="80">
        <f t="shared" ref="J110" si="221">SUM(J104:J109)</f>
        <v>3826.51</v>
      </c>
      <c r="K110" s="80">
        <f t="shared" ref="K110" si="222">SUM(K104:K109)</f>
        <v>3826.51</v>
      </c>
      <c r="L110" s="80">
        <f t="shared" ref="L110" si="223">SUM(L104:L109)</f>
        <v>3826.51</v>
      </c>
      <c r="M110" s="80">
        <f t="shared" ref="M110" si="224">SUM(M104:M109)</f>
        <v>3826.51</v>
      </c>
      <c r="N110" s="80">
        <f t="shared" ref="N110" si="225">SUM(N104:N109)</f>
        <v>3826.51</v>
      </c>
      <c r="O110" s="80">
        <f t="shared" ref="O110" si="226">SUM(O104:O109)</f>
        <v>3826.51</v>
      </c>
      <c r="P110" s="80">
        <f t="shared" ref="P110" si="227">SUM(P104:P109)</f>
        <v>3826.51</v>
      </c>
      <c r="Q110" s="80">
        <f t="shared" ref="Q110" si="228">SUM(Q104:Q109)</f>
        <v>3826.51</v>
      </c>
      <c r="R110" s="80">
        <f>SUM(R104:R109)</f>
        <v>45918</v>
      </c>
      <c r="S110" s="149">
        <f t="shared" ref="S110:AD110" si="229">SUM(S104:S109)</f>
        <v>3826.51</v>
      </c>
      <c r="T110" s="149">
        <f t="shared" si="229"/>
        <v>7653.02</v>
      </c>
      <c r="U110" s="149">
        <f t="shared" si="229"/>
        <v>11479.53</v>
      </c>
      <c r="V110" s="149">
        <f t="shared" si="229"/>
        <v>15306.04</v>
      </c>
      <c r="W110" s="149">
        <f t="shared" si="229"/>
        <v>19132.55</v>
      </c>
      <c r="X110" s="149">
        <f t="shared" si="229"/>
        <v>22959.06</v>
      </c>
      <c r="Y110" s="149">
        <f t="shared" si="229"/>
        <v>26785.57</v>
      </c>
      <c r="Z110" s="149">
        <f t="shared" si="229"/>
        <v>30612.080000000002</v>
      </c>
      <c r="AA110" s="149">
        <f t="shared" si="229"/>
        <v>34438.589999999997</v>
      </c>
      <c r="AB110" s="149">
        <f t="shared" si="229"/>
        <v>38265.099999999991</v>
      </c>
      <c r="AC110" s="149">
        <f t="shared" si="229"/>
        <v>42091.61</v>
      </c>
      <c r="AD110" s="149">
        <f t="shared" si="229"/>
        <v>45918.119999999995</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230">+E$16</f>
        <v>12</v>
      </c>
      <c r="F113" s="79">
        <f t="shared" ref="F113:Q116" si="231">ROUND(+$R113/$E113,2)</f>
        <v>798.33</v>
      </c>
      <c r="G113" s="79">
        <f t="shared" si="231"/>
        <v>798.33</v>
      </c>
      <c r="H113" s="79">
        <f t="shared" si="231"/>
        <v>798.33</v>
      </c>
      <c r="I113" s="79">
        <f t="shared" si="231"/>
        <v>798.33</v>
      </c>
      <c r="J113" s="79">
        <f t="shared" si="231"/>
        <v>798.33</v>
      </c>
      <c r="K113" s="79">
        <f t="shared" si="231"/>
        <v>798.33</v>
      </c>
      <c r="L113" s="79">
        <f t="shared" si="231"/>
        <v>798.33</v>
      </c>
      <c r="M113" s="79">
        <f t="shared" si="231"/>
        <v>798.33</v>
      </c>
      <c r="N113" s="79">
        <f t="shared" si="231"/>
        <v>798.33</v>
      </c>
      <c r="O113" s="79">
        <f t="shared" si="231"/>
        <v>798.33</v>
      </c>
      <c r="P113" s="79">
        <f t="shared" si="231"/>
        <v>798.33</v>
      </c>
      <c r="Q113" s="79">
        <f t="shared" si="231"/>
        <v>798.33</v>
      </c>
      <c r="R113" s="71">
        <v>9580</v>
      </c>
      <c r="S113" s="139">
        <f t="shared" ref="S113:S118" si="232">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230"/>
        <v>12</v>
      </c>
      <c r="F114" s="79">
        <f t="shared" si="231"/>
        <v>41.67</v>
      </c>
      <c r="G114" s="79">
        <f t="shared" si="231"/>
        <v>41.67</v>
      </c>
      <c r="H114" s="79">
        <f t="shared" si="231"/>
        <v>41.67</v>
      </c>
      <c r="I114" s="79">
        <f t="shared" si="231"/>
        <v>41.67</v>
      </c>
      <c r="J114" s="79">
        <f t="shared" si="231"/>
        <v>41.67</v>
      </c>
      <c r="K114" s="79">
        <f t="shared" si="231"/>
        <v>41.67</v>
      </c>
      <c r="L114" s="79">
        <f t="shared" si="231"/>
        <v>41.67</v>
      </c>
      <c r="M114" s="79">
        <f t="shared" si="231"/>
        <v>41.67</v>
      </c>
      <c r="N114" s="79">
        <f t="shared" si="231"/>
        <v>41.67</v>
      </c>
      <c r="O114" s="79">
        <f t="shared" si="231"/>
        <v>41.67</v>
      </c>
      <c r="P114" s="79">
        <f t="shared" si="231"/>
        <v>41.67</v>
      </c>
      <c r="Q114" s="79">
        <f t="shared" si="231"/>
        <v>41.67</v>
      </c>
      <c r="R114" s="71">
        <v>500</v>
      </c>
      <c r="S114" s="139">
        <f t="shared" si="232"/>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230"/>
        <v>12</v>
      </c>
      <c r="F115" s="79">
        <f t="shared" si="231"/>
        <v>1512.67</v>
      </c>
      <c r="G115" s="79">
        <f t="shared" si="231"/>
        <v>1512.67</v>
      </c>
      <c r="H115" s="79">
        <f t="shared" si="231"/>
        <v>1512.67</v>
      </c>
      <c r="I115" s="79">
        <f t="shared" si="231"/>
        <v>1512.67</v>
      </c>
      <c r="J115" s="79">
        <f t="shared" si="231"/>
        <v>1512.67</v>
      </c>
      <c r="K115" s="79">
        <f t="shared" si="231"/>
        <v>1512.67</v>
      </c>
      <c r="L115" s="79">
        <f t="shared" si="231"/>
        <v>1512.67</v>
      </c>
      <c r="M115" s="79">
        <f t="shared" si="231"/>
        <v>1512.67</v>
      </c>
      <c r="N115" s="79">
        <f t="shared" si="231"/>
        <v>1512.67</v>
      </c>
      <c r="O115" s="79">
        <f t="shared" si="231"/>
        <v>1512.67</v>
      </c>
      <c r="P115" s="79">
        <f t="shared" si="231"/>
        <v>1512.67</v>
      </c>
      <c r="Q115" s="79">
        <f t="shared" si="231"/>
        <v>1512.67</v>
      </c>
      <c r="R115" s="71">
        <v>18152</v>
      </c>
      <c r="S115" s="139">
        <f t="shared" si="232"/>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231"/>
        <v>671.3</v>
      </c>
      <c r="G116" s="79">
        <f t="shared" si="231"/>
        <v>671.3</v>
      </c>
      <c r="H116" s="79">
        <f t="shared" si="231"/>
        <v>671.3</v>
      </c>
      <c r="I116" s="79">
        <f t="shared" si="231"/>
        <v>671.3</v>
      </c>
      <c r="J116" s="79">
        <f t="shared" si="231"/>
        <v>671.3</v>
      </c>
      <c r="K116" s="79">
        <f t="shared" si="231"/>
        <v>671.3</v>
      </c>
      <c r="L116" s="71">
        <v>0</v>
      </c>
      <c r="M116" s="71">
        <v>0</v>
      </c>
      <c r="N116" s="79">
        <f t="shared" si="231"/>
        <v>671.3</v>
      </c>
      <c r="O116" s="79">
        <f t="shared" si="231"/>
        <v>671.3</v>
      </c>
      <c r="P116" s="79">
        <f t="shared" si="231"/>
        <v>671.3</v>
      </c>
      <c r="Q116" s="79">
        <f t="shared" si="231"/>
        <v>671.3</v>
      </c>
      <c r="R116" s="71">
        <v>6713</v>
      </c>
      <c r="S116" s="139">
        <f t="shared" si="232"/>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233">+E$16</f>
        <v>12</v>
      </c>
      <c r="F117" s="79">
        <f t="shared" ref="F117:Q118" si="234">ROUND(+$R117/$E117,2)</f>
        <v>141.5</v>
      </c>
      <c r="G117" s="79">
        <f t="shared" si="234"/>
        <v>141.5</v>
      </c>
      <c r="H117" s="79">
        <f t="shared" si="234"/>
        <v>141.5</v>
      </c>
      <c r="I117" s="79">
        <f t="shared" si="234"/>
        <v>141.5</v>
      </c>
      <c r="J117" s="79">
        <f t="shared" si="234"/>
        <v>141.5</v>
      </c>
      <c r="K117" s="79">
        <f t="shared" si="234"/>
        <v>141.5</v>
      </c>
      <c r="L117" s="79">
        <f t="shared" si="234"/>
        <v>141.5</v>
      </c>
      <c r="M117" s="79">
        <f t="shared" si="234"/>
        <v>141.5</v>
      </c>
      <c r="N117" s="79">
        <f t="shared" si="234"/>
        <v>141.5</v>
      </c>
      <c r="O117" s="79">
        <f t="shared" si="234"/>
        <v>141.5</v>
      </c>
      <c r="P117" s="79">
        <f t="shared" si="234"/>
        <v>141.5</v>
      </c>
      <c r="Q117" s="79">
        <f t="shared" si="234"/>
        <v>141.5</v>
      </c>
      <c r="R117" s="71">
        <v>1698</v>
      </c>
      <c r="S117" s="139">
        <f t="shared" si="232"/>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233"/>
        <v>12</v>
      </c>
      <c r="F118" s="79">
        <f t="shared" si="234"/>
        <v>200</v>
      </c>
      <c r="G118" s="79">
        <f t="shared" si="234"/>
        <v>200</v>
      </c>
      <c r="H118" s="79">
        <f t="shared" si="234"/>
        <v>200</v>
      </c>
      <c r="I118" s="79">
        <f t="shared" si="234"/>
        <v>200</v>
      </c>
      <c r="J118" s="79">
        <f t="shared" si="234"/>
        <v>200</v>
      </c>
      <c r="K118" s="79">
        <f t="shared" si="234"/>
        <v>200</v>
      </c>
      <c r="L118" s="79">
        <f t="shared" si="234"/>
        <v>200</v>
      </c>
      <c r="M118" s="79">
        <f t="shared" si="234"/>
        <v>200</v>
      </c>
      <c r="N118" s="79">
        <f t="shared" si="234"/>
        <v>200</v>
      </c>
      <c r="O118" s="79">
        <f t="shared" si="234"/>
        <v>200</v>
      </c>
      <c r="P118" s="79">
        <f t="shared" si="234"/>
        <v>200</v>
      </c>
      <c r="Q118" s="79">
        <f t="shared" si="234"/>
        <v>200</v>
      </c>
      <c r="R118" s="71">
        <v>2400</v>
      </c>
      <c r="S118" s="139">
        <f t="shared" si="232"/>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 si="235">SUM(F113:F118)</f>
        <v>3365.4700000000003</v>
      </c>
      <c r="G119" s="80">
        <f t="shared" ref="G119" si="236">SUM(G113:G118)</f>
        <v>3365.4700000000003</v>
      </c>
      <c r="H119" s="80">
        <f t="shared" ref="H119" si="237">SUM(H113:H118)</f>
        <v>3365.4700000000003</v>
      </c>
      <c r="I119" s="80">
        <f t="shared" ref="I119" si="238">SUM(I113:I118)</f>
        <v>3365.4700000000003</v>
      </c>
      <c r="J119" s="80">
        <f t="shared" ref="J119" si="239">SUM(J113:J118)</f>
        <v>3365.4700000000003</v>
      </c>
      <c r="K119" s="80">
        <f t="shared" ref="K119" si="240">SUM(K113:K118)</f>
        <v>3365.4700000000003</v>
      </c>
      <c r="L119" s="80">
        <f t="shared" ref="L119" si="241">SUM(L113:L118)</f>
        <v>2694.17</v>
      </c>
      <c r="M119" s="80">
        <f t="shared" ref="M119" si="242">SUM(M113:M118)</f>
        <v>2694.17</v>
      </c>
      <c r="N119" s="80">
        <f t="shared" ref="N119" si="243">SUM(N113:N118)</f>
        <v>3365.4700000000003</v>
      </c>
      <c r="O119" s="80">
        <f t="shared" ref="O119" si="244">SUM(O113:O118)</f>
        <v>3365.4700000000003</v>
      </c>
      <c r="P119" s="80">
        <f t="shared" ref="P119" si="245">SUM(P113:P118)</f>
        <v>3365.4700000000003</v>
      </c>
      <c r="Q119" s="80">
        <f t="shared" ref="Q119" si="246">SUM(Q113:Q118)</f>
        <v>3365.4700000000003</v>
      </c>
      <c r="R119" s="80">
        <f>SUM(R113:R118)</f>
        <v>39043</v>
      </c>
      <c r="S119" s="149">
        <f t="shared" ref="S119:AD119" si="247">SUM(S113:S118)</f>
        <v>3365.4700000000003</v>
      </c>
      <c r="T119" s="149">
        <f t="shared" si="247"/>
        <v>6730.9400000000005</v>
      </c>
      <c r="U119" s="149">
        <f t="shared" si="247"/>
        <v>10096.41</v>
      </c>
      <c r="V119" s="149">
        <f t="shared" si="247"/>
        <v>13461.880000000001</v>
      </c>
      <c r="W119" s="149">
        <f t="shared" si="247"/>
        <v>16827.349999999999</v>
      </c>
      <c r="X119" s="149">
        <f t="shared" si="247"/>
        <v>20192.82</v>
      </c>
      <c r="Y119" s="149">
        <f t="shared" si="247"/>
        <v>22886.99</v>
      </c>
      <c r="Z119" s="149">
        <f t="shared" si="247"/>
        <v>25581.16</v>
      </c>
      <c r="AA119" s="149">
        <f t="shared" si="247"/>
        <v>28946.629999999997</v>
      </c>
      <c r="AB119" s="149">
        <f t="shared" si="247"/>
        <v>32312.100000000002</v>
      </c>
      <c r="AC119" s="149">
        <f t="shared" si="247"/>
        <v>35677.570000000007</v>
      </c>
      <c r="AD119" s="149">
        <f t="shared" si="247"/>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f t="shared" ref="E122:E128" si="248">+E$16</f>
        <v>12</v>
      </c>
      <c r="F122" s="79">
        <f t="shared" ref="F122:Q129" si="249">ROUND(+$R122/$E122,2)</f>
        <v>1031.25</v>
      </c>
      <c r="G122" s="79">
        <f t="shared" si="249"/>
        <v>1031.25</v>
      </c>
      <c r="H122" s="79">
        <f t="shared" si="249"/>
        <v>1031.25</v>
      </c>
      <c r="I122" s="79">
        <f t="shared" si="249"/>
        <v>1031.25</v>
      </c>
      <c r="J122" s="79">
        <f t="shared" si="249"/>
        <v>1031.25</v>
      </c>
      <c r="K122" s="79">
        <f t="shared" si="249"/>
        <v>1031.25</v>
      </c>
      <c r="L122" s="79">
        <f t="shared" si="249"/>
        <v>1031.25</v>
      </c>
      <c r="M122" s="79">
        <f t="shared" si="249"/>
        <v>1031.25</v>
      </c>
      <c r="N122" s="79">
        <f t="shared" si="249"/>
        <v>1031.25</v>
      </c>
      <c r="O122" s="79">
        <f t="shared" si="249"/>
        <v>1031.25</v>
      </c>
      <c r="P122" s="79">
        <f t="shared" si="249"/>
        <v>1031.25</v>
      </c>
      <c r="Q122" s="79">
        <f t="shared" si="249"/>
        <v>1031.25</v>
      </c>
      <c r="R122" s="71">
        <v>12375</v>
      </c>
      <c r="S122" s="139">
        <f t="shared" ref="S122:S131" si="250">SUM(F122)</f>
        <v>1031.25</v>
      </c>
      <c r="T122" s="139">
        <f>SUM($F122:G122)</f>
        <v>2062.5</v>
      </c>
      <c r="U122" s="139">
        <f>SUM($F122:H122)</f>
        <v>3093.75</v>
      </c>
      <c r="V122" s="139">
        <f>SUM($F122:I122)</f>
        <v>4125</v>
      </c>
      <c r="W122" s="139">
        <f>SUM($F122:J122)</f>
        <v>5156.25</v>
      </c>
      <c r="X122" s="139">
        <f>SUM($F122:K122)</f>
        <v>6187.5</v>
      </c>
      <c r="Y122" s="139">
        <f>SUM($F122:L122)</f>
        <v>7218.75</v>
      </c>
      <c r="Z122" s="139">
        <f>SUM($F122:M122)</f>
        <v>8250</v>
      </c>
      <c r="AA122" s="139">
        <f>SUM($F122:N122)</f>
        <v>9281.25</v>
      </c>
      <c r="AB122" s="139">
        <f>SUM($F122:O122)</f>
        <v>10312.5</v>
      </c>
      <c r="AC122" s="139">
        <f>SUM($F122:P122)</f>
        <v>11343.75</v>
      </c>
      <c r="AD122" s="139">
        <f>SUM($F122:Q122)</f>
        <v>12375</v>
      </c>
    </row>
    <row r="123" spans="1:30" x14ac:dyDescent="0.25">
      <c r="A123" s="106">
        <v>118</v>
      </c>
      <c r="C123" s="1" t="s">
        <v>80</v>
      </c>
      <c r="E123" s="101">
        <f t="shared" si="248"/>
        <v>12</v>
      </c>
      <c r="F123" s="79">
        <f t="shared" si="249"/>
        <v>2643.17</v>
      </c>
      <c r="G123" s="79">
        <f t="shared" si="249"/>
        <v>2643.17</v>
      </c>
      <c r="H123" s="79">
        <f t="shared" si="249"/>
        <v>2643.17</v>
      </c>
      <c r="I123" s="79">
        <f t="shared" si="249"/>
        <v>2643.17</v>
      </c>
      <c r="J123" s="79">
        <f t="shared" si="249"/>
        <v>2643.17</v>
      </c>
      <c r="K123" s="79">
        <f t="shared" si="249"/>
        <v>2643.17</v>
      </c>
      <c r="L123" s="79">
        <f t="shared" si="249"/>
        <v>2643.17</v>
      </c>
      <c r="M123" s="79">
        <f t="shared" si="249"/>
        <v>2643.17</v>
      </c>
      <c r="N123" s="79">
        <f t="shared" si="249"/>
        <v>2643.17</v>
      </c>
      <c r="O123" s="79">
        <f t="shared" si="249"/>
        <v>2643.17</v>
      </c>
      <c r="P123" s="79">
        <f t="shared" si="249"/>
        <v>2643.17</v>
      </c>
      <c r="Q123" s="79">
        <f t="shared" si="249"/>
        <v>2643.17</v>
      </c>
      <c r="R123" s="71">
        <v>31718</v>
      </c>
      <c r="S123" s="139">
        <f t="shared" si="250"/>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248"/>
        <v>12</v>
      </c>
      <c r="F124" s="79">
        <f t="shared" si="249"/>
        <v>41.67</v>
      </c>
      <c r="G124" s="79">
        <f t="shared" si="249"/>
        <v>41.67</v>
      </c>
      <c r="H124" s="79">
        <f t="shared" si="249"/>
        <v>41.67</v>
      </c>
      <c r="I124" s="79">
        <f t="shared" si="249"/>
        <v>41.67</v>
      </c>
      <c r="J124" s="79">
        <f t="shared" si="249"/>
        <v>41.67</v>
      </c>
      <c r="K124" s="79">
        <f t="shared" si="249"/>
        <v>41.67</v>
      </c>
      <c r="L124" s="79">
        <f t="shared" si="249"/>
        <v>41.67</v>
      </c>
      <c r="M124" s="79">
        <f t="shared" si="249"/>
        <v>41.67</v>
      </c>
      <c r="N124" s="79">
        <f t="shared" si="249"/>
        <v>41.67</v>
      </c>
      <c r="O124" s="79">
        <f t="shared" si="249"/>
        <v>41.67</v>
      </c>
      <c r="P124" s="79">
        <f t="shared" si="249"/>
        <v>41.67</v>
      </c>
      <c r="Q124" s="79">
        <f t="shared" si="249"/>
        <v>41.67</v>
      </c>
      <c r="R124" s="71">
        <v>500</v>
      </c>
      <c r="S124" s="139">
        <f t="shared" si="250"/>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248"/>
        <v>12</v>
      </c>
      <c r="F125" s="79">
        <f t="shared" si="249"/>
        <v>83.33</v>
      </c>
      <c r="G125" s="79">
        <f t="shared" si="249"/>
        <v>83.33</v>
      </c>
      <c r="H125" s="79">
        <f t="shared" si="249"/>
        <v>83.33</v>
      </c>
      <c r="I125" s="79">
        <f t="shared" si="249"/>
        <v>83.33</v>
      </c>
      <c r="J125" s="79">
        <f t="shared" si="249"/>
        <v>83.33</v>
      </c>
      <c r="K125" s="79">
        <f t="shared" si="249"/>
        <v>83.33</v>
      </c>
      <c r="L125" s="79">
        <f t="shared" si="249"/>
        <v>83.33</v>
      </c>
      <c r="M125" s="79">
        <f t="shared" si="249"/>
        <v>83.33</v>
      </c>
      <c r="N125" s="79">
        <f t="shared" si="249"/>
        <v>83.33</v>
      </c>
      <c r="O125" s="79">
        <f t="shared" si="249"/>
        <v>83.33</v>
      </c>
      <c r="P125" s="79">
        <f t="shared" si="249"/>
        <v>83.33</v>
      </c>
      <c r="Q125" s="79">
        <f t="shared" si="249"/>
        <v>83.33</v>
      </c>
      <c r="R125" s="71">
        <v>1000</v>
      </c>
      <c r="S125" s="139">
        <f t="shared" si="250"/>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248"/>
        <v>12</v>
      </c>
      <c r="F126" s="79">
        <f t="shared" si="249"/>
        <v>0</v>
      </c>
      <c r="G126" s="79">
        <f t="shared" si="249"/>
        <v>0</v>
      </c>
      <c r="H126" s="79">
        <f t="shared" si="249"/>
        <v>0</v>
      </c>
      <c r="I126" s="79">
        <f t="shared" si="249"/>
        <v>0</v>
      </c>
      <c r="J126" s="79">
        <f t="shared" si="249"/>
        <v>0</v>
      </c>
      <c r="K126" s="79">
        <f t="shared" si="249"/>
        <v>0</v>
      </c>
      <c r="L126" s="79">
        <f t="shared" si="249"/>
        <v>0</v>
      </c>
      <c r="M126" s="79">
        <f t="shared" si="249"/>
        <v>0</v>
      </c>
      <c r="N126" s="79">
        <f t="shared" si="249"/>
        <v>0</v>
      </c>
      <c r="O126" s="79">
        <f t="shared" si="249"/>
        <v>0</v>
      </c>
      <c r="P126" s="79">
        <f t="shared" si="249"/>
        <v>0</v>
      </c>
      <c r="Q126" s="79">
        <f t="shared" si="249"/>
        <v>0</v>
      </c>
      <c r="R126" s="71">
        <v>0</v>
      </c>
      <c r="S126" s="139">
        <f t="shared" si="250"/>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f t="shared" si="248"/>
        <v>12</v>
      </c>
      <c r="F127" s="79">
        <f t="shared" si="249"/>
        <v>1462.5</v>
      </c>
      <c r="G127" s="79">
        <f t="shared" si="249"/>
        <v>1462.5</v>
      </c>
      <c r="H127" s="79">
        <f t="shared" si="249"/>
        <v>1462.5</v>
      </c>
      <c r="I127" s="79">
        <f t="shared" si="249"/>
        <v>1462.5</v>
      </c>
      <c r="J127" s="79">
        <f t="shared" si="249"/>
        <v>1462.5</v>
      </c>
      <c r="K127" s="79">
        <f t="shared" si="249"/>
        <v>1462.5</v>
      </c>
      <c r="L127" s="79">
        <f t="shared" si="249"/>
        <v>1462.5</v>
      </c>
      <c r="M127" s="79">
        <f t="shared" si="249"/>
        <v>1462.5</v>
      </c>
      <c r="N127" s="79">
        <f t="shared" si="249"/>
        <v>1462.5</v>
      </c>
      <c r="O127" s="79">
        <f t="shared" si="249"/>
        <v>1462.5</v>
      </c>
      <c r="P127" s="79">
        <f t="shared" si="249"/>
        <v>1462.5</v>
      </c>
      <c r="Q127" s="79">
        <f t="shared" si="249"/>
        <v>1462.5</v>
      </c>
      <c r="R127" s="71">
        <v>17550</v>
      </c>
      <c r="S127" s="139">
        <f t="shared" si="250"/>
        <v>1462.5</v>
      </c>
      <c r="T127" s="139">
        <f>SUM($F127:G127)</f>
        <v>2925</v>
      </c>
      <c r="U127" s="139">
        <f>SUM($F127:H127)</f>
        <v>4387.5</v>
      </c>
      <c r="V127" s="139">
        <f>SUM($F127:I127)</f>
        <v>5850</v>
      </c>
      <c r="W127" s="139">
        <f>SUM($F127:J127)</f>
        <v>7312.5</v>
      </c>
      <c r="X127" s="139">
        <f>SUM($F127:K127)</f>
        <v>8775</v>
      </c>
      <c r="Y127" s="139">
        <f>SUM($F127:L127)</f>
        <v>10237.5</v>
      </c>
      <c r="Z127" s="139">
        <f>SUM($F127:M127)</f>
        <v>11700</v>
      </c>
      <c r="AA127" s="139">
        <f>SUM($F127:N127)</f>
        <v>13162.5</v>
      </c>
      <c r="AB127" s="139">
        <f>SUM($F127:O127)</f>
        <v>14625</v>
      </c>
      <c r="AC127" s="139">
        <f>SUM($F127:P127)</f>
        <v>16087.5</v>
      </c>
      <c r="AD127" s="139">
        <f>SUM($F127:Q127)</f>
        <v>17550</v>
      </c>
    </row>
    <row r="128" spans="1:30" x14ac:dyDescent="0.25">
      <c r="A128" s="106">
        <v>123</v>
      </c>
      <c r="C128" s="1" t="s">
        <v>84</v>
      </c>
      <c r="E128" s="101">
        <f t="shared" si="248"/>
        <v>12</v>
      </c>
      <c r="F128" s="79">
        <f t="shared" si="249"/>
        <v>821.83</v>
      </c>
      <c r="G128" s="79">
        <f t="shared" si="249"/>
        <v>821.83</v>
      </c>
      <c r="H128" s="79">
        <f t="shared" si="249"/>
        <v>821.83</v>
      </c>
      <c r="I128" s="79">
        <f t="shared" si="249"/>
        <v>821.83</v>
      </c>
      <c r="J128" s="79">
        <f t="shared" si="249"/>
        <v>821.83</v>
      </c>
      <c r="K128" s="79">
        <f t="shared" si="249"/>
        <v>821.83</v>
      </c>
      <c r="L128" s="79">
        <f t="shared" si="249"/>
        <v>821.83</v>
      </c>
      <c r="M128" s="79">
        <f t="shared" si="249"/>
        <v>821.83</v>
      </c>
      <c r="N128" s="79">
        <f t="shared" si="249"/>
        <v>821.83</v>
      </c>
      <c r="O128" s="79">
        <f t="shared" si="249"/>
        <v>821.83</v>
      </c>
      <c r="P128" s="79">
        <f t="shared" si="249"/>
        <v>821.83</v>
      </c>
      <c r="Q128" s="79">
        <f t="shared" si="249"/>
        <v>821.83</v>
      </c>
      <c r="R128" s="71">
        <v>9862</v>
      </c>
      <c r="S128" s="139">
        <f t="shared" si="250"/>
        <v>821.83</v>
      </c>
      <c r="T128" s="139">
        <f>SUM($F128:G128)</f>
        <v>1643.66</v>
      </c>
      <c r="U128" s="139">
        <f>SUM($F128:H128)</f>
        <v>2465.4900000000002</v>
      </c>
      <c r="V128" s="139">
        <f>SUM($F128:I128)</f>
        <v>3287.32</v>
      </c>
      <c r="W128" s="139">
        <f>SUM($F128:J128)</f>
        <v>4109.1500000000005</v>
      </c>
      <c r="X128" s="139">
        <f>SUM($F128:K128)</f>
        <v>4930.9800000000005</v>
      </c>
      <c r="Y128" s="139">
        <f>SUM($F128:L128)</f>
        <v>5752.81</v>
      </c>
      <c r="Z128" s="139">
        <f>SUM($F128:M128)</f>
        <v>6574.64</v>
      </c>
      <c r="AA128" s="139">
        <f>SUM($F128:N128)</f>
        <v>7396.47</v>
      </c>
      <c r="AB128" s="139">
        <f>SUM($F128:O128)</f>
        <v>8218.3000000000011</v>
      </c>
      <c r="AC128" s="139">
        <f>SUM($F128:P128)</f>
        <v>9040.130000000001</v>
      </c>
      <c r="AD128" s="139">
        <f>SUM($F128:Q128)</f>
        <v>9861.9600000000009</v>
      </c>
    </row>
    <row r="129" spans="1:30" x14ac:dyDescent="0.25">
      <c r="A129" s="106">
        <v>124</v>
      </c>
      <c r="C129" s="1" t="s">
        <v>85</v>
      </c>
      <c r="E129" s="100">
        <v>4</v>
      </c>
      <c r="F129" s="79">
        <f t="shared" si="249"/>
        <v>855.75</v>
      </c>
      <c r="G129" s="71">
        <v>0</v>
      </c>
      <c r="H129" s="71">
        <v>0</v>
      </c>
      <c r="I129" s="79">
        <f t="shared" si="249"/>
        <v>855.75</v>
      </c>
      <c r="J129" s="71">
        <v>0</v>
      </c>
      <c r="K129" s="71">
        <v>0</v>
      </c>
      <c r="L129" s="79">
        <f t="shared" si="249"/>
        <v>855.75</v>
      </c>
      <c r="M129" s="71">
        <v>0</v>
      </c>
      <c r="N129" s="71">
        <v>0</v>
      </c>
      <c r="O129" s="79">
        <f t="shared" si="249"/>
        <v>855.75</v>
      </c>
      <c r="P129" s="71">
        <v>0</v>
      </c>
      <c r="Q129" s="71">
        <v>0</v>
      </c>
      <c r="R129" s="71">
        <v>3423</v>
      </c>
      <c r="S129" s="139">
        <f t="shared" si="250"/>
        <v>855.75</v>
      </c>
      <c r="T129" s="139">
        <f>SUM($F129:G129)</f>
        <v>855.75</v>
      </c>
      <c r="U129" s="139">
        <f>SUM($F129:H129)</f>
        <v>855.75</v>
      </c>
      <c r="V129" s="139">
        <f>SUM($F129:I129)</f>
        <v>1711.5</v>
      </c>
      <c r="W129" s="139">
        <f>SUM($F129:J129)</f>
        <v>1711.5</v>
      </c>
      <c r="X129" s="139">
        <f>SUM($F129:K129)</f>
        <v>1711.5</v>
      </c>
      <c r="Y129" s="139">
        <f>SUM($F129:L129)</f>
        <v>2567.25</v>
      </c>
      <c r="Z129" s="139">
        <f>SUM($F129:M129)</f>
        <v>2567.25</v>
      </c>
      <c r="AA129" s="139">
        <f>SUM($F129:N129)</f>
        <v>2567.25</v>
      </c>
      <c r="AB129" s="139">
        <f>SUM($F129:O129)</f>
        <v>3423</v>
      </c>
      <c r="AC129" s="139">
        <f>SUM($F129:P129)</f>
        <v>3423</v>
      </c>
      <c r="AD129" s="139">
        <f>SUM($F129:Q129)</f>
        <v>3423</v>
      </c>
    </row>
    <row r="130" spans="1:30" x14ac:dyDescent="0.25">
      <c r="A130" s="106">
        <v>125</v>
      </c>
      <c r="C130" s="1" t="s">
        <v>86</v>
      </c>
      <c r="E130" s="101">
        <f t="shared" ref="E130" si="251">+E$16</f>
        <v>12</v>
      </c>
      <c r="F130" s="79">
        <f t="shared" ref="F130:Q131" si="252">ROUND(+$R130/$E130,2)</f>
        <v>50</v>
      </c>
      <c r="G130" s="79">
        <f t="shared" si="252"/>
        <v>50</v>
      </c>
      <c r="H130" s="79">
        <f t="shared" si="252"/>
        <v>50</v>
      </c>
      <c r="I130" s="79">
        <f t="shared" si="252"/>
        <v>50</v>
      </c>
      <c r="J130" s="79">
        <f t="shared" si="252"/>
        <v>50</v>
      </c>
      <c r="K130" s="79">
        <f t="shared" si="252"/>
        <v>50</v>
      </c>
      <c r="L130" s="79">
        <f t="shared" si="252"/>
        <v>50</v>
      </c>
      <c r="M130" s="79">
        <f t="shared" si="252"/>
        <v>50</v>
      </c>
      <c r="N130" s="79">
        <f t="shared" si="252"/>
        <v>50</v>
      </c>
      <c r="O130" s="79">
        <f t="shared" si="252"/>
        <v>50</v>
      </c>
      <c r="P130" s="79">
        <f t="shared" si="252"/>
        <v>50</v>
      </c>
      <c r="Q130" s="79">
        <f t="shared" si="252"/>
        <v>50</v>
      </c>
      <c r="R130" s="71">
        <v>600</v>
      </c>
      <c r="S130" s="139">
        <f t="shared" si="250"/>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252"/>
        <v>0</v>
      </c>
      <c r="G131" s="71">
        <v>0</v>
      </c>
      <c r="H131" s="71">
        <v>0</v>
      </c>
      <c r="I131" s="71">
        <v>0</v>
      </c>
      <c r="J131" s="71">
        <v>0</v>
      </c>
      <c r="K131" s="71">
        <v>0</v>
      </c>
      <c r="L131" s="79">
        <f t="shared" si="252"/>
        <v>0</v>
      </c>
      <c r="M131" s="71">
        <v>0</v>
      </c>
      <c r="N131" s="71">
        <v>0</v>
      </c>
      <c r="O131" s="71">
        <v>0</v>
      </c>
      <c r="P131" s="71">
        <v>0</v>
      </c>
      <c r="Q131" s="71">
        <v>0</v>
      </c>
      <c r="R131" s="71">
        <v>0</v>
      </c>
      <c r="S131" s="139">
        <f t="shared" si="250"/>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 si="253">SUM(F122:F131)</f>
        <v>6989.5</v>
      </c>
      <c r="G132" s="80">
        <f t="shared" ref="G132" si="254">SUM(G122:G131)</f>
        <v>6133.75</v>
      </c>
      <c r="H132" s="80">
        <f t="shared" ref="H132" si="255">SUM(H122:H131)</f>
        <v>6133.75</v>
      </c>
      <c r="I132" s="80">
        <f t="shared" ref="I132" si="256">SUM(I122:I131)</f>
        <v>6989.5</v>
      </c>
      <c r="J132" s="80">
        <f t="shared" ref="J132" si="257">SUM(J122:J131)</f>
        <v>6133.75</v>
      </c>
      <c r="K132" s="80">
        <f t="shared" ref="K132" si="258">SUM(K122:K131)</f>
        <v>6133.75</v>
      </c>
      <c r="L132" s="80">
        <f t="shared" ref="L132" si="259">SUM(L122:L131)</f>
        <v>6989.5</v>
      </c>
      <c r="M132" s="80">
        <f t="shared" ref="M132" si="260">SUM(M122:M131)</f>
        <v>6133.75</v>
      </c>
      <c r="N132" s="80">
        <f t="shared" ref="N132" si="261">SUM(N122:N131)</f>
        <v>6133.75</v>
      </c>
      <c r="O132" s="80">
        <f t="shared" ref="O132" si="262">SUM(O122:O131)</f>
        <v>6989.5</v>
      </c>
      <c r="P132" s="80">
        <f t="shared" ref="P132" si="263">SUM(P122:P131)</f>
        <v>6133.75</v>
      </c>
      <c r="Q132" s="80">
        <f t="shared" ref="Q132" si="264">SUM(Q122:Q131)</f>
        <v>6133.75</v>
      </c>
      <c r="R132" s="80">
        <f>SUM(R122:R131)</f>
        <v>77028</v>
      </c>
      <c r="S132" s="149">
        <f t="shared" ref="S132:AD132" si="265">SUM(S122:S131)</f>
        <v>6989.5</v>
      </c>
      <c r="T132" s="149">
        <f t="shared" si="265"/>
        <v>13123.25</v>
      </c>
      <c r="U132" s="149">
        <f t="shared" si="265"/>
        <v>19257</v>
      </c>
      <c r="V132" s="149">
        <f t="shared" si="265"/>
        <v>26246.5</v>
      </c>
      <c r="W132" s="149">
        <f t="shared" si="265"/>
        <v>32380.25</v>
      </c>
      <c r="X132" s="149">
        <f t="shared" si="265"/>
        <v>38514</v>
      </c>
      <c r="Y132" s="149">
        <f t="shared" si="265"/>
        <v>45503.5</v>
      </c>
      <c r="Z132" s="149">
        <f t="shared" si="265"/>
        <v>51637.25</v>
      </c>
      <c r="AA132" s="149">
        <f t="shared" si="265"/>
        <v>57771</v>
      </c>
      <c r="AB132" s="149">
        <f t="shared" si="265"/>
        <v>64760.5</v>
      </c>
      <c r="AC132" s="149">
        <f t="shared" si="265"/>
        <v>70894.25</v>
      </c>
      <c r="AD132" s="149">
        <f t="shared" si="265"/>
        <v>77028</v>
      </c>
    </row>
    <row r="133" spans="1:30" x14ac:dyDescent="0.25">
      <c r="A133" s="106">
        <v>128</v>
      </c>
      <c r="B133" s="33" t="s">
        <v>88</v>
      </c>
      <c r="C133" s="33"/>
      <c r="D133" s="44" t="str">
        <f>0*100%&amp;"% Cost of Living"</f>
        <v>0% Cost of Living</v>
      </c>
      <c r="E133" s="96"/>
      <c r="F133" s="80">
        <f t="shared" ref="F133" si="266">+F91+F96+F101+F110+F119+F132</f>
        <v>28033.480000000003</v>
      </c>
      <c r="G133" s="80">
        <f t="shared" ref="G133" si="267">+G91+G96+G101+G110+G119+G132</f>
        <v>27177.730000000003</v>
      </c>
      <c r="H133" s="80">
        <f t="shared" ref="H133" si="268">+H91+H96+H101+H110+H119+H132</f>
        <v>27177.730000000003</v>
      </c>
      <c r="I133" s="80">
        <f t="shared" ref="I133" si="269">+I91+I96+I101+I110+I119+I132</f>
        <v>28033.480000000003</v>
      </c>
      <c r="J133" s="80">
        <f t="shared" ref="J133" si="270">+J91+J96+J101+J110+J119+J132</f>
        <v>27083.980000000003</v>
      </c>
      <c r="K133" s="80">
        <f t="shared" ref="K133" si="271">+K91+K96+K101+K110+K119+K132</f>
        <v>27083.980000000003</v>
      </c>
      <c r="L133" s="80">
        <f t="shared" ref="L133" si="272">+L91+L96+L101+L110+L119+L132</f>
        <v>27268.43</v>
      </c>
      <c r="M133" s="80">
        <f t="shared" ref="M133" si="273">+M91+M96+M101+M110+M119+M132</f>
        <v>26412.68</v>
      </c>
      <c r="N133" s="80">
        <f t="shared" ref="N133" si="274">+N91+N96+N101+N110+N119+N132</f>
        <v>27271.480000000003</v>
      </c>
      <c r="O133" s="80">
        <f t="shared" ref="O133" si="275">+O91+O96+O101+O110+O119+O132</f>
        <v>28002.230000000003</v>
      </c>
      <c r="P133" s="80">
        <f t="shared" ref="P133" si="276">+P91+P96+P101+P110+P119+P132</f>
        <v>27146.230000000003</v>
      </c>
      <c r="Q133" s="80">
        <f t="shared" ref="Q133" si="277">+Q91+Q96+Q101+Q110+Q119+Q132</f>
        <v>27146.730000000003</v>
      </c>
      <c r="R133" s="80">
        <f>+R91+R96+R101+R110+R119+R132</f>
        <v>327838</v>
      </c>
      <c r="S133" s="149">
        <f t="shared" ref="S133:AD133" si="278">+S91+S96+S101+S110+S119+S132</f>
        <v>28033.480000000003</v>
      </c>
      <c r="T133" s="149">
        <f t="shared" si="278"/>
        <v>55211.210000000006</v>
      </c>
      <c r="U133" s="149">
        <f t="shared" si="278"/>
        <v>82388.939999999988</v>
      </c>
      <c r="V133" s="149">
        <f t="shared" si="278"/>
        <v>110422.42000000001</v>
      </c>
      <c r="W133" s="149">
        <f t="shared" si="278"/>
        <v>137506.4</v>
      </c>
      <c r="X133" s="149">
        <f t="shared" si="278"/>
        <v>164590.37999999998</v>
      </c>
      <c r="Y133" s="149">
        <f t="shared" si="278"/>
        <v>191858.81</v>
      </c>
      <c r="Z133" s="149">
        <f t="shared" si="278"/>
        <v>218271.49000000002</v>
      </c>
      <c r="AA133" s="149">
        <f t="shared" si="278"/>
        <v>245542.97</v>
      </c>
      <c r="AB133" s="149">
        <f t="shared" si="278"/>
        <v>273545.19999999995</v>
      </c>
      <c r="AC133" s="149">
        <f t="shared" si="278"/>
        <v>300691.43</v>
      </c>
      <c r="AD133" s="149">
        <f t="shared" si="278"/>
        <v>327838.15999999997</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279">+E$16</f>
        <v>12</v>
      </c>
      <c r="F137" s="79">
        <f>ROUND(+$R137/$E137,2)</f>
        <v>1500</v>
      </c>
      <c r="G137" s="79">
        <f t="shared" ref="G137:Q142" si="280">ROUND(+$R137/$E137,2)</f>
        <v>1500</v>
      </c>
      <c r="H137" s="79">
        <f t="shared" si="280"/>
        <v>1500</v>
      </c>
      <c r="I137" s="79">
        <f t="shared" si="280"/>
        <v>1500</v>
      </c>
      <c r="J137" s="79">
        <f t="shared" si="280"/>
        <v>1500</v>
      </c>
      <c r="K137" s="79">
        <f t="shared" si="280"/>
        <v>1500</v>
      </c>
      <c r="L137" s="79">
        <f t="shared" si="280"/>
        <v>1500</v>
      </c>
      <c r="M137" s="79">
        <f t="shared" si="280"/>
        <v>1500</v>
      </c>
      <c r="N137" s="79">
        <f t="shared" si="280"/>
        <v>1500</v>
      </c>
      <c r="O137" s="79">
        <f t="shared" si="280"/>
        <v>1500</v>
      </c>
      <c r="P137" s="79">
        <f t="shared" si="280"/>
        <v>1500</v>
      </c>
      <c r="Q137" s="79">
        <f t="shared" si="280"/>
        <v>1500</v>
      </c>
      <c r="R137" s="71">
        <v>18000</v>
      </c>
      <c r="S137" s="139">
        <f t="shared" ref="S137:S143" si="281">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279"/>
        <v>12</v>
      </c>
      <c r="F138" s="79">
        <f>ROUND(+$R138/$E138,2)</f>
        <v>838</v>
      </c>
      <c r="G138" s="79">
        <f t="shared" si="280"/>
        <v>838</v>
      </c>
      <c r="H138" s="79">
        <f t="shared" si="280"/>
        <v>838</v>
      </c>
      <c r="I138" s="79">
        <f t="shared" si="280"/>
        <v>838</v>
      </c>
      <c r="J138" s="79">
        <f t="shared" si="280"/>
        <v>838</v>
      </c>
      <c r="K138" s="79">
        <f t="shared" si="280"/>
        <v>838</v>
      </c>
      <c r="L138" s="79">
        <f t="shared" si="280"/>
        <v>838</v>
      </c>
      <c r="M138" s="79">
        <f t="shared" si="280"/>
        <v>838</v>
      </c>
      <c r="N138" s="79">
        <f t="shared" si="280"/>
        <v>838</v>
      </c>
      <c r="O138" s="79">
        <f t="shared" si="280"/>
        <v>838</v>
      </c>
      <c r="P138" s="79">
        <f t="shared" si="280"/>
        <v>838</v>
      </c>
      <c r="Q138" s="79">
        <f t="shared" si="280"/>
        <v>838</v>
      </c>
      <c r="R138" s="71">
        <v>10056</v>
      </c>
      <c r="S138" s="139">
        <f t="shared" si="281"/>
        <v>838</v>
      </c>
      <c r="T138" s="139">
        <f>SUM($F138:G138)</f>
        <v>1676</v>
      </c>
      <c r="U138" s="139">
        <f>SUM($F138:H138)</f>
        <v>2514</v>
      </c>
      <c r="V138" s="139">
        <f>SUM($F138:I138)</f>
        <v>3352</v>
      </c>
      <c r="W138" s="139">
        <f>SUM($F138:J138)</f>
        <v>4190</v>
      </c>
      <c r="X138" s="139">
        <f>SUM($F138:K138)</f>
        <v>5028</v>
      </c>
      <c r="Y138" s="139">
        <f>SUM($F138:L138)</f>
        <v>5866</v>
      </c>
      <c r="Z138" s="139">
        <f>SUM($F138:M138)</f>
        <v>6704</v>
      </c>
      <c r="AA138" s="139">
        <f>SUM($F138:N138)</f>
        <v>7542</v>
      </c>
      <c r="AB138" s="139">
        <f>SUM($F138:O138)</f>
        <v>8380</v>
      </c>
      <c r="AC138" s="139">
        <f>SUM($F138:P138)</f>
        <v>9218</v>
      </c>
      <c r="AD138" s="139">
        <f>SUM($F138:Q138)</f>
        <v>10056</v>
      </c>
    </row>
    <row r="139" spans="1:30" x14ac:dyDescent="0.25">
      <c r="A139" s="106">
        <v>134</v>
      </c>
      <c r="C139" s="1" t="s">
        <v>94</v>
      </c>
      <c r="E139" s="101">
        <f t="shared" si="279"/>
        <v>12</v>
      </c>
      <c r="F139" s="79">
        <f>ROUND(+$R139/$E139,2)</f>
        <v>340</v>
      </c>
      <c r="G139" s="79">
        <f t="shared" si="280"/>
        <v>340</v>
      </c>
      <c r="H139" s="79">
        <f t="shared" si="280"/>
        <v>340</v>
      </c>
      <c r="I139" s="79">
        <f t="shared" si="280"/>
        <v>340</v>
      </c>
      <c r="J139" s="79">
        <f t="shared" si="280"/>
        <v>340</v>
      </c>
      <c r="K139" s="79">
        <f t="shared" si="280"/>
        <v>340</v>
      </c>
      <c r="L139" s="79">
        <f t="shared" si="280"/>
        <v>340</v>
      </c>
      <c r="M139" s="79">
        <f t="shared" si="280"/>
        <v>340</v>
      </c>
      <c r="N139" s="79">
        <f t="shared" si="280"/>
        <v>340</v>
      </c>
      <c r="O139" s="79">
        <f t="shared" si="280"/>
        <v>340</v>
      </c>
      <c r="P139" s="79">
        <f t="shared" si="280"/>
        <v>340</v>
      </c>
      <c r="Q139" s="79">
        <f t="shared" si="280"/>
        <v>340</v>
      </c>
      <c r="R139" s="71">
        <v>4080</v>
      </c>
      <c r="S139" s="139">
        <f t="shared" si="281"/>
        <v>340</v>
      </c>
      <c r="T139" s="139">
        <f>SUM($F139:G139)</f>
        <v>680</v>
      </c>
      <c r="U139" s="139">
        <f>SUM($F139:H139)</f>
        <v>1020</v>
      </c>
      <c r="V139" s="139">
        <f>SUM($F139:I139)</f>
        <v>1360</v>
      </c>
      <c r="W139" s="139">
        <f>SUM($F139:J139)</f>
        <v>1700</v>
      </c>
      <c r="X139" s="139">
        <f>SUM($F139:K139)</f>
        <v>2040</v>
      </c>
      <c r="Y139" s="139">
        <f>SUM($F139:L139)</f>
        <v>2380</v>
      </c>
      <c r="Z139" s="139">
        <f>SUM($F139:M139)</f>
        <v>2720</v>
      </c>
      <c r="AA139" s="139">
        <f>SUM($F139:N139)</f>
        <v>3060</v>
      </c>
      <c r="AB139" s="139">
        <f>SUM($F139:O139)</f>
        <v>3400</v>
      </c>
      <c r="AC139" s="139">
        <f>SUM($F139:P139)</f>
        <v>3740</v>
      </c>
      <c r="AD139" s="139">
        <f>SUM($F139:Q139)</f>
        <v>4080</v>
      </c>
    </row>
    <row r="140" spans="1:30" x14ac:dyDescent="0.25">
      <c r="A140" s="106">
        <v>135</v>
      </c>
      <c r="C140" s="1" t="s">
        <v>95</v>
      </c>
      <c r="E140" s="100">
        <v>4</v>
      </c>
      <c r="F140" s="79">
        <f t="shared" ref="F140:O140" si="282">ROUND(+$R140/$E140,2)</f>
        <v>200</v>
      </c>
      <c r="G140" s="71">
        <v>0</v>
      </c>
      <c r="H140" s="71">
        <v>0</v>
      </c>
      <c r="I140" s="79">
        <f t="shared" si="282"/>
        <v>200</v>
      </c>
      <c r="J140" s="71">
        <v>0</v>
      </c>
      <c r="K140" s="71">
        <v>0</v>
      </c>
      <c r="L140" s="79">
        <f t="shared" si="282"/>
        <v>200</v>
      </c>
      <c r="M140" s="71">
        <v>0</v>
      </c>
      <c r="N140" s="71">
        <v>0</v>
      </c>
      <c r="O140" s="79">
        <f t="shared" si="282"/>
        <v>200</v>
      </c>
      <c r="P140" s="71">
        <v>0</v>
      </c>
      <c r="Q140" s="71">
        <v>0</v>
      </c>
      <c r="R140" s="71">
        <v>800</v>
      </c>
      <c r="S140" s="139">
        <f t="shared" si="281"/>
        <v>200</v>
      </c>
      <c r="T140" s="139">
        <f>SUM($F140:G140)</f>
        <v>200</v>
      </c>
      <c r="U140" s="139">
        <f>SUM($F140:H140)</f>
        <v>200</v>
      </c>
      <c r="V140" s="139">
        <f>SUM($F140:I140)</f>
        <v>400</v>
      </c>
      <c r="W140" s="139">
        <f>SUM($F140:J140)</f>
        <v>400</v>
      </c>
      <c r="X140" s="139">
        <f>SUM($F140:K140)</f>
        <v>400</v>
      </c>
      <c r="Y140" s="139">
        <f>SUM($F140:L140)</f>
        <v>600</v>
      </c>
      <c r="Z140" s="139">
        <f>SUM($F140:M140)</f>
        <v>600</v>
      </c>
      <c r="AA140" s="139">
        <f>SUM($F140:N140)</f>
        <v>600</v>
      </c>
      <c r="AB140" s="139">
        <f>SUM($F140:O140)</f>
        <v>800</v>
      </c>
      <c r="AC140" s="139">
        <f>SUM($F140:P140)</f>
        <v>800</v>
      </c>
      <c r="AD140" s="139">
        <f>SUM($F140:Q140)</f>
        <v>800</v>
      </c>
    </row>
    <row r="141" spans="1:30" x14ac:dyDescent="0.25">
      <c r="A141" s="106">
        <v>136</v>
      </c>
      <c r="C141" s="1" t="s">
        <v>96</v>
      </c>
      <c r="E141" s="101">
        <f t="shared" si="279"/>
        <v>12</v>
      </c>
      <c r="F141" s="79">
        <f>ROUND(+$R141/$E141,2)</f>
        <v>275</v>
      </c>
      <c r="G141" s="79">
        <f t="shared" si="280"/>
        <v>275</v>
      </c>
      <c r="H141" s="79">
        <f t="shared" si="280"/>
        <v>275</v>
      </c>
      <c r="I141" s="79">
        <f t="shared" si="280"/>
        <v>275</v>
      </c>
      <c r="J141" s="79">
        <f t="shared" si="280"/>
        <v>275</v>
      </c>
      <c r="K141" s="79">
        <f t="shared" si="280"/>
        <v>275</v>
      </c>
      <c r="L141" s="79">
        <f t="shared" si="280"/>
        <v>275</v>
      </c>
      <c r="M141" s="79">
        <f t="shared" si="280"/>
        <v>275</v>
      </c>
      <c r="N141" s="79">
        <f t="shared" si="280"/>
        <v>275</v>
      </c>
      <c r="O141" s="79">
        <f t="shared" si="280"/>
        <v>275</v>
      </c>
      <c r="P141" s="79">
        <f t="shared" si="280"/>
        <v>275</v>
      </c>
      <c r="Q141" s="79">
        <f t="shared" si="280"/>
        <v>275</v>
      </c>
      <c r="R141" s="71">
        <v>3300</v>
      </c>
      <c r="S141" s="139">
        <f t="shared" si="281"/>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279"/>
        <v>12</v>
      </c>
      <c r="F142" s="79">
        <f>ROUND(+$R142/$E142,2)</f>
        <v>225</v>
      </c>
      <c r="G142" s="79">
        <f t="shared" si="280"/>
        <v>225</v>
      </c>
      <c r="H142" s="79">
        <f t="shared" si="280"/>
        <v>225</v>
      </c>
      <c r="I142" s="79">
        <f t="shared" si="280"/>
        <v>225</v>
      </c>
      <c r="J142" s="79">
        <f t="shared" si="280"/>
        <v>225</v>
      </c>
      <c r="K142" s="79">
        <f t="shared" si="280"/>
        <v>225</v>
      </c>
      <c r="L142" s="79">
        <f t="shared" si="280"/>
        <v>225</v>
      </c>
      <c r="M142" s="79">
        <f t="shared" si="280"/>
        <v>225</v>
      </c>
      <c r="N142" s="79">
        <f t="shared" si="280"/>
        <v>225</v>
      </c>
      <c r="O142" s="79">
        <f t="shared" si="280"/>
        <v>225</v>
      </c>
      <c r="P142" s="79">
        <f t="shared" si="280"/>
        <v>225</v>
      </c>
      <c r="Q142" s="79">
        <f t="shared" si="280"/>
        <v>225</v>
      </c>
      <c r="R142" s="71">
        <v>2700</v>
      </c>
      <c r="S142" s="139">
        <f t="shared" si="281"/>
        <v>225</v>
      </c>
      <c r="T142" s="139">
        <f>SUM($F142:G142)</f>
        <v>450</v>
      </c>
      <c r="U142" s="139">
        <f>SUM($F142:H142)</f>
        <v>675</v>
      </c>
      <c r="V142" s="139">
        <f>SUM($F142:I142)</f>
        <v>900</v>
      </c>
      <c r="W142" s="139">
        <f>SUM($F142:J142)</f>
        <v>1125</v>
      </c>
      <c r="X142" s="139">
        <f>SUM($F142:K142)</f>
        <v>1350</v>
      </c>
      <c r="Y142" s="139">
        <f>SUM($F142:L142)</f>
        <v>1575</v>
      </c>
      <c r="Z142" s="139">
        <f>SUM($F142:M142)</f>
        <v>1800</v>
      </c>
      <c r="AA142" s="139">
        <f>SUM($F142:N142)</f>
        <v>2025</v>
      </c>
      <c r="AB142" s="139">
        <f>SUM($F142:O142)</f>
        <v>2250</v>
      </c>
      <c r="AC142" s="139">
        <f>SUM($F142:P142)</f>
        <v>2475</v>
      </c>
      <c r="AD142" s="139">
        <f>SUM($F142:Q142)</f>
        <v>2700</v>
      </c>
    </row>
    <row r="143" spans="1:30" x14ac:dyDescent="0.25">
      <c r="A143" s="106">
        <v>138</v>
      </c>
      <c r="C143" s="1" t="s">
        <v>98</v>
      </c>
      <c r="E143" s="100">
        <v>1</v>
      </c>
      <c r="F143" s="79">
        <f>ROUND(+$R143/$E143,2)</f>
        <v>3300</v>
      </c>
      <c r="G143" s="71">
        <v>0</v>
      </c>
      <c r="H143" s="71">
        <v>0</v>
      </c>
      <c r="I143" s="71">
        <v>0</v>
      </c>
      <c r="J143" s="71">
        <v>0</v>
      </c>
      <c r="K143" s="71">
        <v>0</v>
      </c>
      <c r="L143" s="71">
        <v>0</v>
      </c>
      <c r="M143" s="71">
        <v>0</v>
      </c>
      <c r="N143" s="71">
        <v>0</v>
      </c>
      <c r="O143" s="71">
        <v>0</v>
      </c>
      <c r="P143" s="71">
        <v>0</v>
      </c>
      <c r="Q143" s="71">
        <v>0</v>
      </c>
      <c r="R143" s="71">
        <v>3300</v>
      </c>
      <c r="S143" s="139">
        <f t="shared" si="281"/>
        <v>3300</v>
      </c>
      <c r="T143" s="139">
        <f>SUM($F143:G143)</f>
        <v>3300</v>
      </c>
      <c r="U143" s="139">
        <f>SUM($F143:H143)</f>
        <v>3300</v>
      </c>
      <c r="V143" s="139">
        <f>SUM($F143:I143)</f>
        <v>3300</v>
      </c>
      <c r="W143" s="139">
        <f>SUM($F143:J143)</f>
        <v>3300</v>
      </c>
      <c r="X143" s="139">
        <f>SUM($F143:K143)</f>
        <v>3300</v>
      </c>
      <c r="Y143" s="139">
        <f>SUM($F143:L143)</f>
        <v>3300</v>
      </c>
      <c r="Z143" s="139">
        <f>SUM($F143:M143)</f>
        <v>3300</v>
      </c>
      <c r="AA143" s="139">
        <f>SUM($F143:N143)</f>
        <v>3300</v>
      </c>
      <c r="AB143" s="139">
        <f>SUM($F143:O143)</f>
        <v>3300</v>
      </c>
      <c r="AC143" s="139">
        <f>SUM($F143:P143)</f>
        <v>3300</v>
      </c>
      <c r="AD143" s="139">
        <f>SUM($F143:Q143)</f>
        <v>3300</v>
      </c>
    </row>
    <row r="144" spans="1:30" s="5" customFormat="1" x14ac:dyDescent="0.25">
      <c r="A144" s="106">
        <v>139</v>
      </c>
      <c r="B144" s="36" t="s">
        <v>99</v>
      </c>
      <c r="C144" s="36"/>
      <c r="D144" s="36"/>
      <c r="E144" s="97"/>
      <c r="F144" s="81">
        <f t="shared" ref="F144" si="283">SUM(F137:F143)</f>
        <v>6678</v>
      </c>
      <c r="G144" s="81">
        <f t="shared" ref="G144" si="284">SUM(G137:G143)</f>
        <v>3178</v>
      </c>
      <c r="H144" s="81">
        <f t="shared" ref="H144" si="285">SUM(H137:H143)</f>
        <v>3178</v>
      </c>
      <c r="I144" s="81">
        <f t="shared" ref="I144" si="286">SUM(I137:I143)</f>
        <v>3378</v>
      </c>
      <c r="J144" s="81">
        <f t="shared" ref="J144" si="287">SUM(J137:J143)</f>
        <v>3178</v>
      </c>
      <c r="K144" s="81">
        <f t="shared" ref="K144" si="288">SUM(K137:K143)</f>
        <v>3178</v>
      </c>
      <c r="L144" s="81">
        <f t="shared" ref="L144" si="289">SUM(L137:L143)</f>
        <v>3378</v>
      </c>
      <c r="M144" s="81">
        <f t="shared" ref="M144" si="290">SUM(M137:M143)</f>
        <v>3178</v>
      </c>
      <c r="N144" s="81">
        <f t="shared" ref="N144" si="291">SUM(N137:N143)</f>
        <v>3178</v>
      </c>
      <c r="O144" s="81">
        <f t="shared" ref="O144" si="292">SUM(O137:O143)</f>
        <v>3378</v>
      </c>
      <c r="P144" s="81">
        <f t="shared" ref="P144" si="293">SUM(P137:P143)</f>
        <v>3178</v>
      </c>
      <c r="Q144" s="81">
        <f t="shared" ref="Q144" si="294">SUM(Q137:Q143)</f>
        <v>3178</v>
      </c>
      <c r="R144" s="81">
        <f>SUM(R137:R143)</f>
        <v>42236</v>
      </c>
      <c r="S144" s="150">
        <f t="shared" ref="S144:AD144" si="295">SUM(S137:S143)</f>
        <v>6678</v>
      </c>
      <c r="T144" s="150">
        <f t="shared" si="295"/>
        <v>9856</v>
      </c>
      <c r="U144" s="150">
        <f t="shared" si="295"/>
        <v>13034</v>
      </c>
      <c r="V144" s="150">
        <f t="shared" si="295"/>
        <v>16412</v>
      </c>
      <c r="W144" s="150">
        <f t="shared" si="295"/>
        <v>19590</v>
      </c>
      <c r="X144" s="150">
        <f t="shared" si="295"/>
        <v>22768</v>
      </c>
      <c r="Y144" s="150">
        <f t="shared" si="295"/>
        <v>26146</v>
      </c>
      <c r="Z144" s="150">
        <f t="shared" si="295"/>
        <v>29324</v>
      </c>
      <c r="AA144" s="150">
        <f t="shared" si="295"/>
        <v>32502</v>
      </c>
      <c r="AB144" s="150">
        <f t="shared" si="295"/>
        <v>35880</v>
      </c>
      <c r="AC144" s="150">
        <f t="shared" si="295"/>
        <v>39058</v>
      </c>
      <c r="AD144" s="150">
        <f t="shared" si="295"/>
        <v>42236</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O147" si="296">ROUND(+$R147/$E147,2)</f>
        <v>3025</v>
      </c>
      <c r="G147" s="71">
        <v>0</v>
      </c>
      <c r="H147" s="71">
        <v>0</v>
      </c>
      <c r="I147" s="79">
        <f t="shared" si="296"/>
        <v>3025</v>
      </c>
      <c r="J147" s="71">
        <v>0</v>
      </c>
      <c r="K147" s="71">
        <v>0</v>
      </c>
      <c r="L147" s="79">
        <f t="shared" si="296"/>
        <v>3025</v>
      </c>
      <c r="M147" s="71">
        <v>0</v>
      </c>
      <c r="N147" s="71">
        <v>0</v>
      </c>
      <c r="O147" s="79">
        <f t="shared" si="296"/>
        <v>3025</v>
      </c>
      <c r="P147" s="71">
        <v>0</v>
      </c>
      <c r="Q147" s="71">
        <v>0</v>
      </c>
      <c r="R147" s="71">
        <v>12100</v>
      </c>
      <c r="S147" s="139">
        <f t="shared" ref="S147:S154" si="297">SUM(F147)</f>
        <v>3025</v>
      </c>
      <c r="T147" s="139">
        <f>SUM($F147:G147)</f>
        <v>3025</v>
      </c>
      <c r="U147" s="139">
        <f>SUM($F147:H147)</f>
        <v>3025</v>
      </c>
      <c r="V147" s="139">
        <f>SUM($F147:I147)</f>
        <v>6050</v>
      </c>
      <c r="W147" s="139">
        <f>SUM($F147:J147)</f>
        <v>6050</v>
      </c>
      <c r="X147" s="139">
        <f>SUM($F147:K147)</f>
        <v>6050</v>
      </c>
      <c r="Y147" s="139">
        <f>SUM($F147:L147)</f>
        <v>9075</v>
      </c>
      <c r="Z147" s="139">
        <f>SUM($F147:M147)</f>
        <v>9075</v>
      </c>
      <c r="AA147" s="139">
        <f>SUM($F147:N147)</f>
        <v>9075</v>
      </c>
      <c r="AB147" s="139">
        <f>SUM($F147:O147)</f>
        <v>12100</v>
      </c>
      <c r="AC147" s="139">
        <f>SUM($F147:P147)</f>
        <v>12100</v>
      </c>
      <c r="AD147" s="139">
        <f>SUM($F147:Q147)</f>
        <v>12100</v>
      </c>
    </row>
    <row r="148" spans="1:30" x14ac:dyDescent="0.25">
      <c r="A148" s="106">
        <v>143</v>
      </c>
      <c r="C148" s="1" t="s">
        <v>102</v>
      </c>
      <c r="E148" s="100">
        <v>5</v>
      </c>
      <c r="F148" s="79">
        <f t="shared" ref="F148:Q154" si="298">ROUND(+$R148/$E148,2)</f>
        <v>1000</v>
      </c>
      <c r="G148" s="79">
        <f t="shared" si="298"/>
        <v>1000</v>
      </c>
      <c r="H148" s="79">
        <f t="shared" si="298"/>
        <v>1000</v>
      </c>
      <c r="I148" s="71">
        <v>0</v>
      </c>
      <c r="J148" s="71">
        <v>0</v>
      </c>
      <c r="K148" s="71">
        <v>0</v>
      </c>
      <c r="L148" s="71">
        <v>0</v>
      </c>
      <c r="M148" s="71">
        <v>0</v>
      </c>
      <c r="N148" s="71">
        <v>0</v>
      </c>
      <c r="O148" s="71">
        <v>0</v>
      </c>
      <c r="P148" s="79">
        <f t="shared" si="298"/>
        <v>1000</v>
      </c>
      <c r="Q148" s="79">
        <f t="shared" si="298"/>
        <v>1000</v>
      </c>
      <c r="R148" s="71">
        <v>5000</v>
      </c>
      <c r="S148" s="139">
        <f t="shared" si="2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299">+E$16</f>
        <v>12</v>
      </c>
      <c r="F149" s="79">
        <f t="shared" si="298"/>
        <v>208.33</v>
      </c>
      <c r="G149" s="79">
        <f t="shared" si="298"/>
        <v>208.33</v>
      </c>
      <c r="H149" s="79">
        <f t="shared" si="298"/>
        <v>208.33</v>
      </c>
      <c r="I149" s="79">
        <f t="shared" si="298"/>
        <v>208.33</v>
      </c>
      <c r="J149" s="79">
        <f t="shared" si="298"/>
        <v>208.33</v>
      </c>
      <c r="K149" s="79">
        <f t="shared" si="298"/>
        <v>208.33</v>
      </c>
      <c r="L149" s="79">
        <f t="shared" si="298"/>
        <v>208.33</v>
      </c>
      <c r="M149" s="79">
        <f t="shared" si="298"/>
        <v>208.33</v>
      </c>
      <c r="N149" s="79">
        <f t="shared" si="298"/>
        <v>208.33</v>
      </c>
      <c r="O149" s="79">
        <f t="shared" si="298"/>
        <v>208.33</v>
      </c>
      <c r="P149" s="79">
        <f t="shared" si="298"/>
        <v>208.33</v>
      </c>
      <c r="Q149" s="79">
        <f t="shared" si="298"/>
        <v>208.33</v>
      </c>
      <c r="R149" s="71">
        <v>2500</v>
      </c>
      <c r="S149" s="139">
        <f t="shared" si="2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3" t="s">
        <v>129</v>
      </c>
      <c r="D150" s="223"/>
      <c r="E150" s="101">
        <f t="shared" si="299"/>
        <v>12</v>
      </c>
      <c r="F150" s="79">
        <f t="shared" si="298"/>
        <v>333.33</v>
      </c>
      <c r="G150" s="79">
        <f t="shared" si="298"/>
        <v>333.33</v>
      </c>
      <c r="H150" s="79">
        <f t="shared" si="298"/>
        <v>333.33</v>
      </c>
      <c r="I150" s="79">
        <f t="shared" si="298"/>
        <v>333.33</v>
      </c>
      <c r="J150" s="79">
        <f t="shared" si="298"/>
        <v>333.33</v>
      </c>
      <c r="K150" s="79">
        <f t="shared" si="298"/>
        <v>333.33</v>
      </c>
      <c r="L150" s="79">
        <f t="shared" si="298"/>
        <v>333.33</v>
      </c>
      <c r="M150" s="79">
        <f t="shared" si="298"/>
        <v>333.33</v>
      </c>
      <c r="N150" s="79">
        <f t="shared" si="298"/>
        <v>333.33</v>
      </c>
      <c r="O150" s="79">
        <f t="shared" si="298"/>
        <v>333.33</v>
      </c>
      <c r="P150" s="79">
        <f t="shared" si="298"/>
        <v>333.33</v>
      </c>
      <c r="Q150" s="79">
        <f t="shared" si="298"/>
        <v>333.33</v>
      </c>
      <c r="R150" s="71">
        <v>4000</v>
      </c>
      <c r="S150" s="139">
        <f t="shared" si="297"/>
        <v>333.33</v>
      </c>
      <c r="T150" s="139">
        <f>SUM($F150:G150)</f>
        <v>666.66</v>
      </c>
      <c r="U150" s="139">
        <f>SUM($F150:H150)</f>
        <v>999.99</v>
      </c>
      <c r="V150" s="139">
        <f>SUM($F150:I150)</f>
        <v>1333.32</v>
      </c>
      <c r="W150" s="139">
        <f>SUM($F150:J150)</f>
        <v>1666.6499999999999</v>
      </c>
      <c r="X150" s="139">
        <f>SUM($F150:K150)</f>
        <v>1999.9799999999998</v>
      </c>
      <c r="Y150" s="139">
        <f>SUM($F150:L150)</f>
        <v>2333.31</v>
      </c>
      <c r="Z150" s="139">
        <f>SUM($F150:M150)</f>
        <v>2666.64</v>
      </c>
      <c r="AA150" s="139">
        <f>SUM($F150:N150)</f>
        <v>2999.97</v>
      </c>
      <c r="AB150" s="139">
        <f>SUM($F150:O150)</f>
        <v>3333.2999999999997</v>
      </c>
      <c r="AC150" s="139">
        <f>SUM($F150:P150)</f>
        <v>3666.6299999999997</v>
      </c>
      <c r="AD150" s="139">
        <f>SUM($F150:Q150)</f>
        <v>3999.9599999999996</v>
      </c>
    </row>
    <row r="151" spans="1:30" x14ac:dyDescent="0.25">
      <c r="A151" s="106">
        <v>146</v>
      </c>
      <c r="C151" s="1" t="s">
        <v>104</v>
      </c>
      <c r="E151" s="101">
        <f t="shared" si="299"/>
        <v>12</v>
      </c>
      <c r="F151" s="79">
        <f t="shared" si="298"/>
        <v>500</v>
      </c>
      <c r="G151" s="79">
        <f t="shared" si="298"/>
        <v>500</v>
      </c>
      <c r="H151" s="79">
        <f t="shared" si="298"/>
        <v>500</v>
      </c>
      <c r="I151" s="79">
        <f t="shared" si="298"/>
        <v>500</v>
      </c>
      <c r="J151" s="79">
        <f t="shared" si="298"/>
        <v>500</v>
      </c>
      <c r="K151" s="79">
        <f t="shared" si="298"/>
        <v>500</v>
      </c>
      <c r="L151" s="79">
        <f t="shared" si="298"/>
        <v>500</v>
      </c>
      <c r="M151" s="79">
        <f t="shared" si="298"/>
        <v>500</v>
      </c>
      <c r="N151" s="79">
        <f t="shared" si="298"/>
        <v>500</v>
      </c>
      <c r="O151" s="79">
        <f t="shared" si="298"/>
        <v>500</v>
      </c>
      <c r="P151" s="79">
        <f t="shared" si="298"/>
        <v>500</v>
      </c>
      <c r="Q151" s="79">
        <f t="shared" si="298"/>
        <v>500</v>
      </c>
      <c r="R151" s="71">
        <v>6000</v>
      </c>
      <c r="S151" s="139">
        <f t="shared" si="297"/>
        <v>500</v>
      </c>
      <c r="T151" s="139">
        <f>SUM($F151:G151)</f>
        <v>1000</v>
      </c>
      <c r="U151" s="139">
        <f>SUM($F151:H151)</f>
        <v>1500</v>
      </c>
      <c r="V151" s="139">
        <f>SUM($F151:I151)</f>
        <v>2000</v>
      </c>
      <c r="W151" s="139">
        <f>SUM($F151:J151)</f>
        <v>2500</v>
      </c>
      <c r="X151" s="139">
        <f>SUM($F151:K151)</f>
        <v>3000</v>
      </c>
      <c r="Y151" s="139">
        <f>SUM($F151:L151)</f>
        <v>3500</v>
      </c>
      <c r="Z151" s="139">
        <f>SUM($F151:M151)</f>
        <v>4000</v>
      </c>
      <c r="AA151" s="139">
        <f>SUM($F151:N151)</f>
        <v>4500</v>
      </c>
      <c r="AB151" s="139">
        <f>SUM($F151:O151)</f>
        <v>5000</v>
      </c>
      <c r="AC151" s="139">
        <f>SUM($F151:P151)</f>
        <v>5500</v>
      </c>
      <c r="AD151" s="139">
        <f>SUM($F151:Q151)</f>
        <v>6000</v>
      </c>
    </row>
    <row r="152" spans="1:30" x14ac:dyDescent="0.25">
      <c r="A152" s="106">
        <v>147</v>
      </c>
      <c r="C152" s="1" t="s">
        <v>105</v>
      </c>
      <c r="E152" s="101">
        <f t="shared" si="299"/>
        <v>12</v>
      </c>
      <c r="F152" s="79">
        <f t="shared" si="298"/>
        <v>0</v>
      </c>
      <c r="G152" s="79">
        <f t="shared" si="298"/>
        <v>0</v>
      </c>
      <c r="H152" s="79">
        <f t="shared" si="298"/>
        <v>0</v>
      </c>
      <c r="I152" s="79">
        <f t="shared" si="298"/>
        <v>0</v>
      </c>
      <c r="J152" s="79">
        <f t="shared" si="298"/>
        <v>0</v>
      </c>
      <c r="K152" s="79">
        <f t="shared" si="298"/>
        <v>0</v>
      </c>
      <c r="L152" s="79">
        <f t="shared" si="298"/>
        <v>0</v>
      </c>
      <c r="M152" s="79">
        <f t="shared" si="298"/>
        <v>0</v>
      </c>
      <c r="N152" s="79">
        <f t="shared" si="298"/>
        <v>0</v>
      </c>
      <c r="O152" s="79">
        <f t="shared" si="298"/>
        <v>0</v>
      </c>
      <c r="P152" s="79">
        <f t="shared" si="298"/>
        <v>0</v>
      </c>
      <c r="Q152" s="79">
        <f t="shared" si="298"/>
        <v>0</v>
      </c>
      <c r="R152" s="71">
        <v>0</v>
      </c>
      <c r="S152" s="139">
        <f t="shared" si="2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299"/>
        <v>12</v>
      </c>
      <c r="F153" s="79">
        <f t="shared" si="298"/>
        <v>4575</v>
      </c>
      <c r="G153" s="79">
        <f t="shared" si="298"/>
        <v>4575</v>
      </c>
      <c r="H153" s="79">
        <f t="shared" si="298"/>
        <v>4575</v>
      </c>
      <c r="I153" s="79">
        <f t="shared" si="298"/>
        <v>4575</v>
      </c>
      <c r="J153" s="79">
        <f t="shared" si="298"/>
        <v>4575</v>
      </c>
      <c r="K153" s="79">
        <f t="shared" si="298"/>
        <v>4575</v>
      </c>
      <c r="L153" s="79">
        <f t="shared" si="298"/>
        <v>4575</v>
      </c>
      <c r="M153" s="79">
        <f t="shared" si="298"/>
        <v>4575</v>
      </c>
      <c r="N153" s="79">
        <f t="shared" si="298"/>
        <v>4575</v>
      </c>
      <c r="O153" s="79">
        <f t="shared" si="298"/>
        <v>4575</v>
      </c>
      <c r="P153" s="79">
        <f t="shared" si="298"/>
        <v>4575</v>
      </c>
      <c r="Q153" s="79">
        <f t="shared" si="298"/>
        <v>4575</v>
      </c>
      <c r="R153" s="71">
        <v>54900</v>
      </c>
      <c r="S153" s="139">
        <f t="shared" si="2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299"/>
        <v>12</v>
      </c>
      <c r="F154" s="79">
        <f t="shared" si="298"/>
        <v>57</v>
      </c>
      <c r="G154" s="79">
        <f t="shared" si="298"/>
        <v>57</v>
      </c>
      <c r="H154" s="79">
        <f t="shared" si="298"/>
        <v>57</v>
      </c>
      <c r="I154" s="79">
        <f t="shared" si="298"/>
        <v>57</v>
      </c>
      <c r="J154" s="79">
        <f t="shared" si="298"/>
        <v>57</v>
      </c>
      <c r="K154" s="79">
        <f t="shared" si="298"/>
        <v>57</v>
      </c>
      <c r="L154" s="79">
        <f t="shared" si="298"/>
        <v>57</v>
      </c>
      <c r="M154" s="79">
        <f t="shared" si="298"/>
        <v>57</v>
      </c>
      <c r="N154" s="79">
        <f t="shared" si="298"/>
        <v>57</v>
      </c>
      <c r="O154" s="79">
        <f t="shared" si="298"/>
        <v>57</v>
      </c>
      <c r="P154" s="79">
        <f t="shared" si="298"/>
        <v>57</v>
      </c>
      <c r="Q154" s="79">
        <f t="shared" si="298"/>
        <v>57</v>
      </c>
      <c r="R154" s="71">
        <v>684</v>
      </c>
      <c r="S154" s="139">
        <f t="shared" si="297"/>
        <v>57</v>
      </c>
      <c r="T154" s="139">
        <f>SUM($F154:G154)</f>
        <v>114</v>
      </c>
      <c r="U154" s="139">
        <f>SUM($F154:H154)</f>
        <v>171</v>
      </c>
      <c r="V154" s="139">
        <f>SUM($F154:I154)</f>
        <v>228</v>
      </c>
      <c r="W154" s="139">
        <f>SUM($F154:J154)</f>
        <v>285</v>
      </c>
      <c r="X154" s="139">
        <f>SUM($F154:K154)</f>
        <v>342</v>
      </c>
      <c r="Y154" s="139">
        <f>SUM($F154:L154)</f>
        <v>399</v>
      </c>
      <c r="Z154" s="139">
        <f>SUM($F154:M154)</f>
        <v>456</v>
      </c>
      <c r="AA154" s="139">
        <f>SUM($F154:N154)</f>
        <v>513</v>
      </c>
      <c r="AB154" s="139">
        <f>SUM($F154:O154)</f>
        <v>570</v>
      </c>
      <c r="AC154" s="139">
        <f>SUM($F154:P154)</f>
        <v>627</v>
      </c>
      <c r="AD154" s="139">
        <f>SUM($F154:Q154)</f>
        <v>684</v>
      </c>
    </row>
    <row r="155" spans="1:30" s="5" customFormat="1" x14ac:dyDescent="0.25">
      <c r="A155" s="106">
        <v>150</v>
      </c>
      <c r="B155" s="36" t="s">
        <v>108</v>
      </c>
      <c r="C155" s="36"/>
      <c r="D155" s="36"/>
      <c r="E155" s="97"/>
      <c r="F155" s="81">
        <f t="shared" ref="F155" si="300">SUM(F147:F154)</f>
        <v>9698.66</v>
      </c>
      <c r="G155" s="81">
        <f t="shared" ref="G155" si="301">SUM(G147:G154)</f>
        <v>6673.66</v>
      </c>
      <c r="H155" s="81">
        <f t="shared" ref="H155" si="302">SUM(H147:H154)</f>
        <v>6673.66</v>
      </c>
      <c r="I155" s="81">
        <f t="shared" ref="I155" si="303">SUM(I147:I154)</f>
        <v>8698.66</v>
      </c>
      <c r="J155" s="81">
        <f t="shared" ref="J155" si="304">SUM(J147:J154)</f>
        <v>5673.66</v>
      </c>
      <c r="K155" s="81">
        <f t="shared" ref="K155" si="305">SUM(K147:K154)</f>
        <v>5673.66</v>
      </c>
      <c r="L155" s="81">
        <f t="shared" ref="L155" si="306">SUM(L147:L154)</f>
        <v>8698.66</v>
      </c>
      <c r="M155" s="81">
        <f t="shared" ref="M155" si="307">SUM(M147:M154)</f>
        <v>5673.66</v>
      </c>
      <c r="N155" s="81">
        <f t="shared" ref="N155" si="308">SUM(N147:N154)</f>
        <v>5673.66</v>
      </c>
      <c r="O155" s="81">
        <f t="shared" ref="O155" si="309">SUM(O147:O154)</f>
        <v>8698.66</v>
      </c>
      <c r="P155" s="81">
        <f t="shared" ref="P155" si="310">SUM(P147:P154)</f>
        <v>6673.66</v>
      </c>
      <c r="Q155" s="81">
        <f t="shared" ref="Q155" si="311">SUM(Q147:Q154)</f>
        <v>6673.66</v>
      </c>
      <c r="R155" s="81">
        <f>SUM(R147:R154)</f>
        <v>85184</v>
      </c>
      <c r="S155" s="150">
        <f t="shared" ref="S155:AD155" si="312">SUM(S147:S154)</f>
        <v>9698.66</v>
      </c>
      <c r="T155" s="150">
        <f t="shared" si="312"/>
        <v>16372.32</v>
      </c>
      <c r="U155" s="150">
        <f t="shared" si="312"/>
        <v>23045.98</v>
      </c>
      <c r="V155" s="150">
        <f t="shared" si="312"/>
        <v>31744.639999999999</v>
      </c>
      <c r="W155" s="150">
        <f t="shared" si="312"/>
        <v>37418.300000000003</v>
      </c>
      <c r="X155" s="150">
        <f t="shared" si="312"/>
        <v>43091.96</v>
      </c>
      <c r="Y155" s="150">
        <f t="shared" si="312"/>
        <v>51790.619999999995</v>
      </c>
      <c r="Z155" s="150">
        <f t="shared" si="312"/>
        <v>57464.28</v>
      </c>
      <c r="AA155" s="150">
        <f t="shared" si="312"/>
        <v>63137.94</v>
      </c>
      <c r="AB155" s="150">
        <f t="shared" si="312"/>
        <v>71836.600000000006</v>
      </c>
      <c r="AC155" s="150">
        <f t="shared" si="312"/>
        <v>78510.260000000009</v>
      </c>
      <c r="AD155" s="150">
        <f t="shared" si="312"/>
        <v>85183.92</v>
      </c>
    </row>
    <row r="156" spans="1:30" x14ac:dyDescent="0.25">
      <c r="A156" s="106">
        <v>151</v>
      </c>
      <c r="B156" s="36" t="s">
        <v>109</v>
      </c>
      <c r="C156" s="36"/>
      <c r="D156" s="36"/>
      <c r="E156" s="97"/>
      <c r="F156" s="81">
        <f t="shared" ref="F156" si="313">+F144+F155</f>
        <v>16376.66</v>
      </c>
      <c r="G156" s="81">
        <f t="shared" ref="G156" si="314">+G144+G155</f>
        <v>9851.66</v>
      </c>
      <c r="H156" s="81">
        <f t="shared" ref="H156" si="315">+H144+H155</f>
        <v>9851.66</v>
      </c>
      <c r="I156" s="81">
        <f t="shared" ref="I156" si="316">+I144+I155</f>
        <v>12076.66</v>
      </c>
      <c r="J156" s="81">
        <f t="shared" ref="J156" si="317">+J144+J155</f>
        <v>8851.66</v>
      </c>
      <c r="K156" s="81">
        <f t="shared" ref="K156" si="318">+K144+K155</f>
        <v>8851.66</v>
      </c>
      <c r="L156" s="81">
        <f t="shared" ref="L156" si="319">+L144+L155</f>
        <v>12076.66</v>
      </c>
      <c r="M156" s="81">
        <f t="shared" ref="M156" si="320">+M144+M155</f>
        <v>8851.66</v>
      </c>
      <c r="N156" s="81">
        <f t="shared" ref="N156" si="321">+N144+N155</f>
        <v>8851.66</v>
      </c>
      <c r="O156" s="81">
        <f t="shared" ref="O156" si="322">+O144+O155</f>
        <v>12076.66</v>
      </c>
      <c r="P156" s="81">
        <f t="shared" ref="P156" si="323">+P144+P155</f>
        <v>9851.66</v>
      </c>
      <c r="Q156" s="81">
        <f t="shared" ref="Q156" si="324">+Q144+Q155</f>
        <v>9851.66</v>
      </c>
      <c r="R156" s="81">
        <f>+R144+R155</f>
        <v>127420</v>
      </c>
      <c r="S156" s="150">
        <f t="shared" ref="S156:AD156" si="325">+S144+S155</f>
        <v>16376.66</v>
      </c>
      <c r="T156" s="150">
        <f t="shared" si="325"/>
        <v>26228.32</v>
      </c>
      <c r="U156" s="150">
        <f t="shared" si="325"/>
        <v>36079.979999999996</v>
      </c>
      <c r="V156" s="150">
        <f t="shared" si="325"/>
        <v>48156.639999999999</v>
      </c>
      <c r="W156" s="150">
        <f t="shared" si="325"/>
        <v>57008.3</v>
      </c>
      <c r="X156" s="150">
        <f t="shared" si="325"/>
        <v>65859.959999999992</v>
      </c>
      <c r="Y156" s="150">
        <f t="shared" si="325"/>
        <v>77936.62</v>
      </c>
      <c r="Z156" s="150">
        <f t="shared" si="325"/>
        <v>86788.28</v>
      </c>
      <c r="AA156" s="150">
        <f t="shared" si="325"/>
        <v>95639.94</v>
      </c>
      <c r="AB156" s="150">
        <f t="shared" si="325"/>
        <v>107716.6</v>
      </c>
      <c r="AC156" s="150">
        <f t="shared" si="325"/>
        <v>117568.26000000001</v>
      </c>
      <c r="AD156" s="150">
        <f t="shared" si="325"/>
        <v>127419.92</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326">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1128.75</v>
      </c>
      <c r="I161" s="71">
        <v>0</v>
      </c>
      <c r="J161" s="71">
        <v>0</v>
      </c>
      <c r="K161" s="79">
        <f>+$R161/4</f>
        <v>1128.75</v>
      </c>
      <c r="L161" s="71">
        <v>0</v>
      </c>
      <c r="M161" s="71">
        <v>0</v>
      </c>
      <c r="N161" s="79">
        <f>+$R161/4</f>
        <v>1128.75</v>
      </c>
      <c r="O161" s="71">
        <v>0</v>
      </c>
      <c r="P161" s="71">
        <v>0</v>
      </c>
      <c r="Q161" s="79">
        <f>+$R161/4</f>
        <v>1128.75</v>
      </c>
      <c r="R161" s="71">
        <v>4515</v>
      </c>
      <c r="S161" s="139">
        <f t="shared" si="326"/>
        <v>0</v>
      </c>
      <c r="T161" s="139">
        <f>SUM($F161:G161)</f>
        <v>0</v>
      </c>
      <c r="U161" s="139">
        <f>SUM($F161:H161)</f>
        <v>1128.75</v>
      </c>
      <c r="V161" s="139">
        <f>SUM($F161:I161)</f>
        <v>1128.75</v>
      </c>
      <c r="W161" s="139">
        <f>SUM($F161:J161)</f>
        <v>1128.75</v>
      </c>
      <c r="X161" s="139">
        <f>SUM($F161:K161)</f>
        <v>2257.5</v>
      </c>
      <c r="Y161" s="139">
        <f>SUM($F161:L161)</f>
        <v>2257.5</v>
      </c>
      <c r="Z161" s="139">
        <f>SUM($F161:M161)</f>
        <v>2257.5</v>
      </c>
      <c r="AA161" s="139">
        <f>SUM($F161:N161)</f>
        <v>3386.25</v>
      </c>
      <c r="AB161" s="139">
        <f>SUM($F161:O161)</f>
        <v>3386.25</v>
      </c>
      <c r="AC161" s="139">
        <f>SUM($F161:P161)</f>
        <v>3386.25</v>
      </c>
      <c r="AD161" s="139">
        <f>SUM($F161:Q161)</f>
        <v>4515</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326"/>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327">+E$16</f>
        <v>12</v>
      </c>
      <c r="F163" s="79">
        <f>ROUND(+$R163/$E163,2)</f>
        <v>376.33</v>
      </c>
      <c r="G163" s="79">
        <f t="shared" ref="G163:P163" si="328">ROUND(+$R163/$E163,2)</f>
        <v>376.33</v>
      </c>
      <c r="H163" s="79">
        <f t="shared" si="328"/>
        <v>376.33</v>
      </c>
      <c r="I163" s="79">
        <f t="shared" si="328"/>
        <v>376.33</v>
      </c>
      <c r="J163" s="79">
        <f t="shared" si="328"/>
        <v>376.33</v>
      </c>
      <c r="K163" s="79">
        <f t="shared" si="328"/>
        <v>376.33</v>
      </c>
      <c r="L163" s="79">
        <f t="shared" si="328"/>
        <v>376.33</v>
      </c>
      <c r="M163" s="79">
        <f t="shared" si="328"/>
        <v>376.33</v>
      </c>
      <c r="N163" s="222">
        <f>ROUND(+$R163/$E163,2)+0.03</f>
        <v>376.35999999999996</v>
      </c>
      <c r="O163" s="79">
        <v>0</v>
      </c>
      <c r="P163" s="79">
        <f t="shared" si="328"/>
        <v>376.33</v>
      </c>
      <c r="Q163" s="222">
        <f>ROUND(+$R163/$E163,2)-4139.63+4516-0.03</f>
        <v>752.66999999999985</v>
      </c>
      <c r="R163" s="71">
        <v>4516</v>
      </c>
      <c r="S163" s="139">
        <f t="shared" si="326"/>
        <v>376.33</v>
      </c>
      <c r="T163" s="139">
        <f>SUM($F163:G163)</f>
        <v>752.66</v>
      </c>
      <c r="U163" s="139">
        <f>SUM($F163:H163)</f>
        <v>1128.99</v>
      </c>
      <c r="V163" s="139">
        <f>SUM($F163:I163)</f>
        <v>1505.32</v>
      </c>
      <c r="W163" s="139">
        <f>SUM($F163:J163)</f>
        <v>1881.6499999999999</v>
      </c>
      <c r="X163" s="139">
        <f>SUM($F163:K163)</f>
        <v>2257.98</v>
      </c>
      <c r="Y163" s="139">
        <f>SUM($F163:L163)</f>
        <v>2634.31</v>
      </c>
      <c r="Z163" s="139">
        <f>SUM($F163:M163)</f>
        <v>3010.64</v>
      </c>
      <c r="AA163" s="139">
        <f>SUM($F163:N163)</f>
        <v>3387</v>
      </c>
      <c r="AB163" s="139">
        <f>SUM($F163:O163)</f>
        <v>3387</v>
      </c>
      <c r="AC163" s="139">
        <f>SUM($F163:P163)</f>
        <v>3763.33</v>
      </c>
      <c r="AD163" s="139">
        <f>SUM($F163:Q163)</f>
        <v>4516</v>
      </c>
    </row>
    <row r="164" spans="1:30" s="5" customFormat="1" x14ac:dyDescent="0.25">
      <c r="A164" s="106">
        <v>159</v>
      </c>
      <c r="B164" s="38" t="s">
        <v>116</v>
      </c>
      <c r="C164" s="38"/>
      <c r="D164" s="38"/>
      <c r="E164" s="98"/>
      <c r="F164" s="82">
        <f t="shared" ref="F164" si="329">SUM(F160:F163)</f>
        <v>376.33</v>
      </c>
      <c r="G164" s="82">
        <f t="shared" ref="G164" si="330">SUM(G160:G163)</f>
        <v>376.33</v>
      </c>
      <c r="H164" s="82">
        <f t="shared" ref="H164" si="331">SUM(H160:H163)</f>
        <v>1505.08</v>
      </c>
      <c r="I164" s="82">
        <f t="shared" ref="I164" si="332">SUM(I160:I163)</f>
        <v>376.33</v>
      </c>
      <c r="J164" s="82">
        <f t="shared" ref="J164" si="333">SUM(J160:J163)</f>
        <v>376.33</v>
      </c>
      <c r="K164" s="82">
        <f t="shared" ref="K164" si="334">SUM(K160:K163)</f>
        <v>1505.08</v>
      </c>
      <c r="L164" s="82">
        <f t="shared" ref="L164" si="335">SUM(L160:L163)</f>
        <v>376.33</v>
      </c>
      <c r="M164" s="82">
        <f t="shared" ref="M164" si="336">SUM(M160:M163)</f>
        <v>376.33</v>
      </c>
      <c r="N164" s="82">
        <f t="shared" ref="N164" si="337">SUM(N160:N163)</f>
        <v>1505.11</v>
      </c>
      <c r="O164" s="82">
        <f t="shared" ref="O164" si="338">SUM(O160:O163)</f>
        <v>0</v>
      </c>
      <c r="P164" s="82">
        <f t="shared" ref="P164" si="339">SUM(P160:P163)</f>
        <v>376.33</v>
      </c>
      <c r="Q164" s="82">
        <f t="shared" ref="Q164" si="340">SUM(Q160:Q163)</f>
        <v>1881.4199999999998</v>
      </c>
      <c r="R164" s="82">
        <f>SUM(R160:R163)</f>
        <v>9031</v>
      </c>
      <c r="S164" s="151">
        <f t="shared" ref="S164:AD164" si="341">SUM(S160:S163)</f>
        <v>376.33</v>
      </c>
      <c r="T164" s="151">
        <f t="shared" si="341"/>
        <v>752.66</v>
      </c>
      <c r="U164" s="151">
        <f t="shared" si="341"/>
        <v>2257.7399999999998</v>
      </c>
      <c r="V164" s="151">
        <f t="shared" si="341"/>
        <v>2634.0699999999997</v>
      </c>
      <c r="W164" s="151">
        <f t="shared" si="341"/>
        <v>3010.3999999999996</v>
      </c>
      <c r="X164" s="151">
        <f t="shared" si="341"/>
        <v>4515.4799999999996</v>
      </c>
      <c r="Y164" s="151">
        <f t="shared" si="341"/>
        <v>4891.8099999999995</v>
      </c>
      <c r="Z164" s="151">
        <f t="shared" si="341"/>
        <v>5268.1399999999994</v>
      </c>
      <c r="AA164" s="151">
        <f t="shared" si="341"/>
        <v>6773.25</v>
      </c>
      <c r="AB164" s="151">
        <f t="shared" si="341"/>
        <v>6773.25</v>
      </c>
      <c r="AC164" s="151">
        <f t="shared" si="341"/>
        <v>7149.58</v>
      </c>
      <c r="AD164" s="151">
        <f t="shared" si="341"/>
        <v>9031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342">+F82+F133+F156+F164+F31</f>
        <v>49288.560000000005</v>
      </c>
      <c r="G166" s="83">
        <f t="shared" si="342"/>
        <v>41907.810000000005</v>
      </c>
      <c r="H166" s="83">
        <f t="shared" si="342"/>
        <v>43103.22</v>
      </c>
      <c r="I166" s="83">
        <f t="shared" si="342"/>
        <v>45055.23000000001</v>
      </c>
      <c r="J166" s="83">
        <f t="shared" si="342"/>
        <v>41580.73000000001</v>
      </c>
      <c r="K166" s="83">
        <f t="shared" si="342"/>
        <v>41942.810000000005</v>
      </c>
      <c r="L166" s="83">
        <f t="shared" si="342"/>
        <v>44223.51</v>
      </c>
      <c r="M166" s="83">
        <f t="shared" si="342"/>
        <v>40892.76</v>
      </c>
      <c r="N166" s="83">
        <f t="shared" si="342"/>
        <v>80411</v>
      </c>
      <c r="O166" s="83">
        <f t="shared" si="342"/>
        <v>48655.22</v>
      </c>
      <c r="P166" s="83">
        <f t="shared" si="342"/>
        <v>42026.310000000005</v>
      </c>
      <c r="Q166" s="83">
        <f t="shared" si="342"/>
        <v>53417.959999999992</v>
      </c>
      <c r="R166" s="83">
        <f>+R82+R133+R156+R164+R31</f>
        <v>572505</v>
      </c>
      <c r="S166" s="152">
        <f t="shared" ref="S166:AD166" si="343">+S82+S133+S156+S164+S31</f>
        <v>49288.560000000005</v>
      </c>
      <c r="T166" s="152">
        <f t="shared" si="343"/>
        <v>91196.37000000001</v>
      </c>
      <c r="U166" s="152">
        <f t="shared" si="343"/>
        <v>134299.58999999997</v>
      </c>
      <c r="V166" s="152">
        <f t="shared" si="343"/>
        <v>179354.82</v>
      </c>
      <c r="W166" s="152">
        <f t="shared" si="343"/>
        <v>220935.55000000002</v>
      </c>
      <c r="X166" s="152">
        <f t="shared" si="343"/>
        <v>262878.36</v>
      </c>
      <c r="Y166" s="152">
        <f t="shared" si="343"/>
        <v>307101.87</v>
      </c>
      <c r="Z166" s="152">
        <f t="shared" si="343"/>
        <v>347994.63</v>
      </c>
      <c r="AA166" s="152">
        <f t="shared" si="343"/>
        <v>428405.63</v>
      </c>
      <c r="AB166" s="152">
        <f t="shared" si="343"/>
        <v>477060.85</v>
      </c>
      <c r="AC166" s="152">
        <f t="shared" si="343"/>
        <v>519087.16000000003</v>
      </c>
      <c r="AD166" s="152">
        <f t="shared" si="343"/>
        <v>572505.11999999988</v>
      </c>
    </row>
    <row r="167" spans="1:30" x14ac:dyDescent="0.25">
      <c r="A167" s="106">
        <v>162</v>
      </c>
      <c r="B167" s="40" t="s">
        <v>118</v>
      </c>
      <c r="C167" s="41"/>
      <c r="D167" s="41"/>
      <c r="E167" s="99"/>
      <c r="F167" s="83">
        <f t="shared" ref="F167" si="344">+F22-F166</f>
        <v>-48455.23</v>
      </c>
      <c r="G167" s="83">
        <f t="shared" ref="G167" si="345">+G22-G166</f>
        <v>-41074.480000000003</v>
      </c>
      <c r="H167" s="83">
        <f t="shared" ref="H167" si="346">+H22-H166</f>
        <v>-42269.89</v>
      </c>
      <c r="I167" s="83">
        <f t="shared" ref="I167" si="347">+I22-I166</f>
        <v>-44221.900000000009</v>
      </c>
      <c r="J167" s="83">
        <f t="shared" ref="J167" si="348">+J22-J166</f>
        <v>-40747.400000000009</v>
      </c>
      <c r="K167" s="83">
        <f t="shared" ref="K167" si="349">+K22-K166</f>
        <v>-41109.480000000003</v>
      </c>
      <c r="L167" s="83">
        <f t="shared" ref="L167" si="350">+L22-L166</f>
        <v>-43390.18</v>
      </c>
      <c r="M167" s="83">
        <f t="shared" ref="M167" si="351">+M22-M166</f>
        <v>-40059.43</v>
      </c>
      <c r="N167" s="83">
        <f t="shared" ref="N167" si="352">+N22-N166</f>
        <v>355524.77</v>
      </c>
      <c r="O167" s="83">
        <f t="shared" ref="O167" si="353">+O22-O166</f>
        <v>-10069.800000000003</v>
      </c>
      <c r="P167" s="83">
        <f t="shared" ref="P167" si="354">+P22-P166</f>
        <v>-41192.980000000003</v>
      </c>
      <c r="Q167" s="83">
        <f t="shared" ref="Q167" si="355">+Q22-Q166</f>
        <v>37065.840000000011</v>
      </c>
      <c r="R167" s="83">
        <f>+R22-R166</f>
        <v>0</v>
      </c>
      <c r="S167" s="152">
        <f t="shared" ref="S167:AD167" si="356">+S22-S166</f>
        <v>-48455.23</v>
      </c>
      <c r="T167" s="152">
        <f t="shared" si="356"/>
        <v>-89529.71</v>
      </c>
      <c r="U167" s="152">
        <f t="shared" si="356"/>
        <v>-131799.59999999998</v>
      </c>
      <c r="V167" s="152">
        <f t="shared" si="356"/>
        <v>-176021.5</v>
      </c>
      <c r="W167" s="152">
        <f t="shared" si="356"/>
        <v>-216768.90000000002</v>
      </c>
      <c r="X167" s="152">
        <f t="shared" si="356"/>
        <v>-257878.37999999998</v>
      </c>
      <c r="Y167" s="152">
        <f t="shared" si="356"/>
        <v>-301268.56</v>
      </c>
      <c r="Z167" s="152">
        <f t="shared" si="356"/>
        <v>-341327.99</v>
      </c>
      <c r="AA167" s="152">
        <f t="shared" si="356"/>
        <v>14196.77999999997</v>
      </c>
      <c r="AB167" s="152">
        <f t="shared" si="356"/>
        <v>4126.9800000000396</v>
      </c>
      <c r="AC167" s="152">
        <f t="shared" si="356"/>
        <v>-37066</v>
      </c>
      <c r="AD167" s="152">
        <f t="shared" si="356"/>
        <v>-0.15999999991618097</v>
      </c>
    </row>
    <row r="168" spans="1:30" x14ac:dyDescent="0.25">
      <c r="O168" s="35">
        <f>10069.8+O167</f>
        <v>0</v>
      </c>
      <c r="AC168" s="35" t="s">
        <v>179</v>
      </c>
      <c r="AD168" s="35">
        <f>+R166-AD166</f>
        <v>-0.11999999987892807</v>
      </c>
    </row>
    <row r="169" spans="1:30" x14ac:dyDescent="0.25">
      <c r="O169" s="35">
        <f>7.01-6.98</f>
        <v>2.9999999999999361E-2</v>
      </c>
      <c r="AD169" s="35">
        <f>+R167-AD167</f>
        <v>0.15999999991618097</v>
      </c>
    </row>
  </sheetData>
  <mergeCells count="5">
    <mergeCell ref="C150:D150"/>
    <mergeCell ref="F3:R3"/>
    <mergeCell ref="B2:R2"/>
    <mergeCell ref="S3:AD3"/>
    <mergeCell ref="B1:AD1"/>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B55" workbookViewId="0">
      <selection activeCell="R59" sqref="R59"/>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hidden="1" customWidth="1" outlineLevel="1"/>
    <col min="17" max="17" width="15.28515625" style="35" hidden="1" customWidth="1" outlineLevel="1"/>
    <col min="18" max="18" width="13.85546875" style="35" customWidth="1" collapsed="1"/>
    <col min="19" max="29" width="14.140625" style="35" hidden="1" customWidth="1" outlineLevel="1"/>
    <col min="30" max="30" width="15.285156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229</v>
      </c>
      <c r="G3" s="237"/>
      <c r="H3" s="237"/>
      <c r="I3" s="237"/>
      <c r="J3" s="237"/>
      <c r="K3" s="237"/>
      <c r="L3" s="237"/>
      <c r="M3" s="237"/>
      <c r="N3" s="237"/>
      <c r="O3" s="237"/>
      <c r="P3" s="237"/>
      <c r="Q3" s="237"/>
      <c r="R3" s="238"/>
      <c r="S3" s="239" t="str">
        <f>+F3&amp;" YTD"</f>
        <v>2013 Budget YTD</v>
      </c>
      <c r="T3" s="240"/>
      <c r="U3" s="240"/>
      <c r="V3" s="240"/>
      <c r="W3" s="240"/>
      <c r="X3" s="240"/>
      <c r="Y3" s="240"/>
      <c r="Z3" s="240"/>
      <c r="AA3" s="240"/>
      <c r="AB3" s="240"/>
      <c r="AC3" s="240"/>
      <c r="AD3" s="241"/>
    </row>
    <row r="4" spans="1:30" s="5" customFormat="1" ht="53.25" customHeight="1" x14ac:dyDescent="0.25">
      <c r="A4" s="107"/>
      <c r="E4" s="88" t="s">
        <v>167</v>
      </c>
      <c r="F4" s="69" t="s">
        <v>166</v>
      </c>
      <c r="G4" s="69" t="s">
        <v>168</v>
      </c>
      <c r="H4" s="69" t="s">
        <v>169</v>
      </c>
      <c r="I4" s="69" t="s">
        <v>170</v>
      </c>
      <c r="J4" s="69" t="s">
        <v>171</v>
      </c>
      <c r="K4" s="69" t="s">
        <v>172</v>
      </c>
      <c r="L4" s="69" t="s">
        <v>173</v>
      </c>
      <c r="M4" s="69" t="s">
        <v>174</v>
      </c>
      <c r="N4" s="69" t="s">
        <v>175</v>
      </c>
      <c r="O4" s="69" t="s">
        <v>176</v>
      </c>
      <c r="P4" s="69" t="s">
        <v>177</v>
      </c>
      <c r="Q4" s="69" t="s">
        <v>178</v>
      </c>
      <c r="R4" s="135"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c r="G7" s="71"/>
      <c r="H7" s="71"/>
      <c r="I7" s="71"/>
      <c r="J7" s="71"/>
      <c r="K7" s="71"/>
      <c r="L7" s="71"/>
      <c r="M7" s="71"/>
      <c r="N7" s="71">
        <v>428402.44</v>
      </c>
      <c r="O7" s="71"/>
      <c r="P7" s="71"/>
      <c r="Q7" s="71">
        <f>549805-428402.44</f>
        <v>121402.56</v>
      </c>
      <c r="R7" s="79">
        <f>SUM(F7:Q7)</f>
        <v>549805</v>
      </c>
      <c r="S7" s="139">
        <f>SUM(F7)</f>
        <v>0</v>
      </c>
      <c r="T7" s="139">
        <f>SUM($F7:G7)</f>
        <v>0</v>
      </c>
      <c r="U7" s="139">
        <f>SUM($F7:H7)</f>
        <v>0</v>
      </c>
      <c r="V7" s="139">
        <f>SUM($F7:I7)</f>
        <v>0</v>
      </c>
      <c r="W7" s="139">
        <f>SUM($F7:J7)</f>
        <v>0</v>
      </c>
      <c r="X7" s="139">
        <f>SUM($F7:K7)</f>
        <v>0</v>
      </c>
      <c r="Y7" s="139">
        <f>SUM($F7:L7)</f>
        <v>0</v>
      </c>
      <c r="Z7" s="139">
        <f>SUM($F7:M7)</f>
        <v>0</v>
      </c>
      <c r="AA7" s="139">
        <f>SUM($F7:N7)</f>
        <v>428402.44</v>
      </c>
      <c r="AB7" s="139">
        <f>SUM($F7:O7)</f>
        <v>428402.44</v>
      </c>
      <c r="AC7" s="139">
        <f>SUM($F7:P7)</f>
        <v>428402.44</v>
      </c>
      <c r="AD7" s="139">
        <f>SUM($F7:Q7)</f>
        <v>549805</v>
      </c>
    </row>
    <row r="8" spans="1:30" x14ac:dyDescent="0.25">
      <c r="A8" s="106">
        <v>3</v>
      </c>
      <c r="C8" s="1" t="s">
        <v>2</v>
      </c>
      <c r="F8" s="71"/>
      <c r="G8" s="71"/>
      <c r="H8" s="71"/>
      <c r="I8" s="71"/>
      <c r="J8" s="71"/>
      <c r="K8" s="71"/>
      <c r="L8" s="71"/>
      <c r="M8" s="71"/>
      <c r="N8" s="71">
        <v>0</v>
      </c>
      <c r="O8" s="71"/>
      <c r="P8" s="71"/>
      <c r="Q8" s="71"/>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c r="G9" s="71"/>
      <c r="H9" s="71"/>
      <c r="I9" s="71"/>
      <c r="J9" s="71"/>
      <c r="K9" s="71"/>
      <c r="L9" s="71"/>
      <c r="M9" s="71"/>
      <c r="N9" s="71">
        <v>4000</v>
      </c>
      <c r="O9" s="71"/>
      <c r="P9" s="71"/>
      <c r="Q9" s="71">
        <v>0</v>
      </c>
      <c r="R9" s="79">
        <f t="shared" si="0"/>
        <v>4000</v>
      </c>
      <c r="S9" s="139">
        <f t="shared" si="1"/>
        <v>0</v>
      </c>
      <c r="T9" s="139">
        <f>SUM($F9:G9)</f>
        <v>0</v>
      </c>
      <c r="U9" s="139">
        <f>SUM($F9:H9)</f>
        <v>0</v>
      </c>
      <c r="V9" s="139">
        <f>SUM($F9:I9)</f>
        <v>0</v>
      </c>
      <c r="W9" s="139">
        <f>SUM($F9:J9)</f>
        <v>0</v>
      </c>
      <c r="X9" s="139">
        <f>SUM($F9:K9)</f>
        <v>0</v>
      </c>
      <c r="Y9" s="139">
        <f>SUM($F9:L9)</f>
        <v>0</v>
      </c>
      <c r="Z9" s="139">
        <f>SUM($F9:M9)</f>
        <v>0</v>
      </c>
      <c r="AA9" s="139">
        <f>SUM($F9:N9)</f>
        <v>4000</v>
      </c>
      <c r="AB9" s="139">
        <f>SUM($F9:O9)</f>
        <v>4000</v>
      </c>
      <c r="AC9" s="139">
        <f>SUM($F9:P9)</f>
        <v>4000</v>
      </c>
      <c r="AD9" s="139">
        <f>SUM($F9:Q9)</f>
        <v>4000</v>
      </c>
    </row>
    <row r="10" spans="1:30" x14ac:dyDescent="0.25">
      <c r="A10" s="106">
        <v>5</v>
      </c>
      <c r="C10" s="1" t="s">
        <v>4</v>
      </c>
      <c r="F10" s="71"/>
      <c r="G10" s="71"/>
      <c r="H10" s="71"/>
      <c r="I10" s="71"/>
      <c r="J10" s="71"/>
      <c r="K10" s="71"/>
      <c r="L10" s="71"/>
      <c r="M10" s="71"/>
      <c r="N10" s="71">
        <v>0</v>
      </c>
      <c r="O10" s="71"/>
      <c r="P10" s="71"/>
      <c r="Q10" s="71">
        <v>1000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1000</v>
      </c>
    </row>
    <row r="11" spans="1:30" x14ac:dyDescent="0.25">
      <c r="A11" s="106">
        <v>6</v>
      </c>
      <c r="C11" s="1" t="s">
        <v>5</v>
      </c>
      <c r="F11" s="71"/>
      <c r="G11" s="71"/>
      <c r="H11" s="71"/>
      <c r="I11" s="71"/>
      <c r="J11" s="71"/>
      <c r="K11" s="71"/>
      <c r="L11" s="71"/>
      <c r="M11" s="71"/>
      <c r="N11" s="71">
        <v>0</v>
      </c>
      <c r="O11" s="71"/>
      <c r="P11" s="71"/>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c r="G12" s="71"/>
      <c r="H12" s="71"/>
      <c r="I12" s="71"/>
      <c r="J12" s="71"/>
      <c r="K12" s="71"/>
      <c r="L12" s="71"/>
      <c r="M12" s="71"/>
      <c r="N12" s="71">
        <v>2700</v>
      </c>
      <c r="O12" s="71"/>
      <c r="P12" s="71"/>
      <c r="Q12" s="71">
        <v>0</v>
      </c>
      <c r="R12" s="79">
        <f t="shared" si="0"/>
        <v>2700</v>
      </c>
      <c r="S12" s="139">
        <f t="shared" si="1"/>
        <v>0</v>
      </c>
      <c r="T12" s="139">
        <f>SUM($F12:G12)</f>
        <v>0</v>
      </c>
      <c r="U12" s="139">
        <f>SUM($F12:H12)</f>
        <v>0</v>
      </c>
      <c r="V12" s="139">
        <f>SUM($F12:I12)</f>
        <v>0</v>
      </c>
      <c r="W12" s="139">
        <f>SUM($F12:J12)</f>
        <v>0</v>
      </c>
      <c r="X12" s="139">
        <f>SUM($F12:K12)</f>
        <v>0</v>
      </c>
      <c r="Y12" s="139">
        <f>SUM($F12:L12)</f>
        <v>0</v>
      </c>
      <c r="Z12" s="139">
        <f>SUM($F12:M12)</f>
        <v>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2">SUM(F7:F12)</f>
        <v>0</v>
      </c>
      <c r="G13" s="72">
        <f t="shared" si="2"/>
        <v>0</v>
      </c>
      <c r="H13" s="72">
        <f t="shared" si="2"/>
        <v>0</v>
      </c>
      <c r="I13" s="72">
        <f t="shared" si="2"/>
        <v>0</v>
      </c>
      <c r="J13" s="72">
        <f t="shared" si="2"/>
        <v>0</v>
      </c>
      <c r="K13" s="72">
        <f t="shared" si="2"/>
        <v>0</v>
      </c>
      <c r="L13" s="72">
        <f t="shared" si="2"/>
        <v>0</v>
      </c>
      <c r="M13" s="72">
        <f t="shared" si="2"/>
        <v>0</v>
      </c>
      <c r="N13" s="72">
        <f t="shared" si="2"/>
        <v>435102.44</v>
      </c>
      <c r="O13" s="72">
        <f t="shared" si="2"/>
        <v>0</v>
      </c>
      <c r="P13" s="72">
        <f t="shared" si="2"/>
        <v>0</v>
      </c>
      <c r="Q13" s="72">
        <f t="shared" si="2"/>
        <v>127402.56</v>
      </c>
      <c r="R13" s="72">
        <f>SUM(R7:R12)</f>
        <v>562505</v>
      </c>
      <c r="S13" s="140">
        <f t="shared" ref="S13:AD13" si="3">SUM(S7:S12)</f>
        <v>0</v>
      </c>
      <c r="T13" s="140">
        <f t="shared" si="3"/>
        <v>0</v>
      </c>
      <c r="U13" s="140">
        <f t="shared" si="3"/>
        <v>0</v>
      </c>
      <c r="V13" s="140">
        <f t="shared" si="3"/>
        <v>0</v>
      </c>
      <c r="W13" s="140">
        <f t="shared" si="3"/>
        <v>0</v>
      </c>
      <c r="X13" s="140">
        <f t="shared" si="3"/>
        <v>0</v>
      </c>
      <c r="Y13" s="140">
        <f t="shared" si="3"/>
        <v>0</v>
      </c>
      <c r="Z13" s="140">
        <f t="shared" si="3"/>
        <v>0</v>
      </c>
      <c r="AA13" s="140">
        <f t="shared" si="3"/>
        <v>435102.44</v>
      </c>
      <c r="AB13" s="140">
        <f t="shared" si="3"/>
        <v>435102.44</v>
      </c>
      <c r="AC13" s="140">
        <f t="shared" si="3"/>
        <v>435102.44</v>
      </c>
      <c r="AD13" s="140">
        <f t="shared" si="3"/>
        <v>562505</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4">ROUND(+$R16/$E16,2)</f>
        <v>833.33</v>
      </c>
      <c r="H16" s="79">
        <f t="shared" si="4"/>
        <v>833.33</v>
      </c>
      <c r="I16" s="79">
        <f t="shared" si="4"/>
        <v>833.33</v>
      </c>
      <c r="J16" s="79">
        <f t="shared" si="4"/>
        <v>833.33</v>
      </c>
      <c r="K16" s="79">
        <f t="shared" si="4"/>
        <v>833.33</v>
      </c>
      <c r="L16" s="79">
        <f t="shared" si="4"/>
        <v>833.33</v>
      </c>
      <c r="M16" s="79">
        <f t="shared" si="4"/>
        <v>833.33</v>
      </c>
      <c r="N16" s="79">
        <f t="shared" si="4"/>
        <v>833.33</v>
      </c>
      <c r="O16" s="79">
        <f t="shared" si="4"/>
        <v>833.33</v>
      </c>
      <c r="P16" s="79">
        <f t="shared" si="4"/>
        <v>833.33</v>
      </c>
      <c r="Q16" s="79">
        <f t="shared" si="4"/>
        <v>833.33</v>
      </c>
      <c r="R16" s="71">
        <v>10000</v>
      </c>
      <c r="S16" s="139">
        <f t="shared" ref="S16:S20" si="5">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6">ROUND(+$R17/$E17,2)</f>
        <v>0</v>
      </c>
      <c r="G17" s="79">
        <f t="shared" si="6"/>
        <v>0</v>
      </c>
      <c r="H17" s="79">
        <f t="shared" si="6"/>
        <v>0</v>
      </c>
      <c r="I17" s="79">
        <f t="shared" si="6"/>
        <v>0</v>
      </c>
      <c r="J17" s="79">
        <f t="shared" si="6"/>
        <v>0</v>
      </c>
      <c r="K17" s="79">
        <f t="shared" si="6"/>
        <v>0</v>
      </c>
      <c r="L17" s="79">
        <f t="shared" si="6"/>
        <v>0</v>
      </c>
      <c r="M17" s="79">
        <f t="shared" si="6"/>
        <v>0</v>
      </c>
      <c r="N17" s="79">
        <f t="shared" si="6"/>
        <v>0</v>
      </c>
      <c r="O17" s="79">
        <f t="shared" si="6"/>
        <v>0</v>
      </c>
      <c r="P17" s="79">
        <f t="shared" si="6"/>
        <v>0</v>
      </c>
      <c r="Q17" s="79">
        <f t="shared" si="6"/>
        <v>0</v>
      </c>
      <c r="R17" s="71">
        <v>0</v>
      </c>
      <c r="S17" s="139">
        <f t="shared" si="5"/>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7">+E$16</f>
        <v>12</v>
      </c>
      <c r="F18" s="79">
        <f t="shared" si="6"/>
        <v>0</v>
      </c>
      <c r="G18" s="79">
        <f t="shared" si="6"/>
        <v>0</v>
      </c>
      <c r="H18" s="79">
        <f t="shared" si="6"/>
        <v>0</v>
      </c>
      <c r="I18" s="79">
        <f t="shared" si="6"/>
        <v>0</v>
      </c>
      <c r="J18" s="79">
        <f t="shared" si="6"/>
        <v>0</v>
      </c>
      <c r="K18" s="79">
        <f t="shared" si="6"/>
        <v>0</v>
      </c>
      <c r="L18" s="79">
        <f t="shared" si="6"/>
        <v>0</v>
      </c>
      <c r="M18" s="79">
        <f t="shared" si="6"/>
        <v>0</v>
      </c>
      <c r="N18" s="79">
        <f t="shared" si="6"/>
        <v>0</v>
      </c>
      <c r="O18" s="79">
        <f t="shared" si="6"/>
        <v>0</v>
      </c>
      <c r="P18" s="79">
        <f t="shared" si="6"/>
        <v>0</v>
      </c>
      <c r="Q18" s="79">
        <f t="shared" si="6"/>
        <v>0</v>
      </c>
      <c r="R18" s="71">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7"/>
        <v>12</v>
      </c>
      <c r="F19" s="79">
        <f t="shared" si="6"/>
        <v>0</v>
      </c>
      <c r="G19" s="79">
        <f t="shared" si="6"/>
        <v>0</v>
      </c>
      <c r="H19" s="79">
        <f t="shared" si="6"/>
        <v>0</v>
      </c>
      <c r="I19" s="79">
        <f t="shared" si="6"/>
        <v>0</v>
      </c>
      <c r="J19" s="79">
        <f t="shared" si="6"/>
        <v>0</v>
      </c>
      <c r="K19" s="79">
        <f t="shared" si="6"/>
        <v>0</v>
      </c>
      <c r="L19" s="79">
        <f t="shared" si="6"/>
        <v>0</v>
      </c>
      <c r="M19" s="79">
        <f t="shared" si="6"/>
        <v>0</v>
      </c>
      <c r="N19" s="79">
        <f t="shared" si="6"/>
        <v>0</v>
      </c>
      <c r="O19" s="79">
        <f t="shared" si="6"/>
        <v>0</v>
      </c>
      <c r="P19" s="79">
        <f t="shared" si="6"/>
        <v>0</v>
      </c>
      <c r="Q19" s="79">
        <f t="shared" si="6"/>
        <v>0</v>
      </c>
      <c r="R19" s="71">
        <v>0</v>
      </c>
      <c r="S19" s="139">
        <f t="shared" si="5"/>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142</v>
      </c>
      <c r="E20" s="101">
        <f t="shared" si="7"/>
        <v>12</v>
      </c>
      <c r="F20" s="79">
        <f t="shared" si="6"/>
        <v>0</v>
      </c>
      <c r="G20" s="79">
        <f t="shared" si="6"/>
        <v>0</v>
      </c>
      <c r="H20" s="79">
        <f t="shared" si="6"/>
        <v>0</v>
      </c>
      <c r="I20" s="79">
        <f t="shared" si="6"/>
        <v>0</v>
      </c>
      <c r="J20" s="79">
        <f t="shared" si="6"/>
        <v>0</v>
      </c>
      <c r="K20" s="79">
        <f t="shared" si="6"/>
        <v>0</v>
      </c>
      <c r="L20" s="79">
        <f t="shared" si="6"/>
        <v>0</v>
      </c>
      <c r="M20" s="79">
        <f t="shared" si="6"/>
        <v>0</v>
      </c>
      <c r="N20" s="79">
        <f t="shared" si="6"/>
        <v>0</v>
      </c>
      <c r="O20" s="79">
        <f t="shared" si="6"/>
        <v>0</v>
      </c>
      <c r="P20" s="79">
        <f t="shared" si="6"/>
        <v>0</v>
      </c>
      <c r="Q20" s="79">
        <f t="shared" si="6"/>
        <v>0</v>
      </c>
      <c r="R20" s="71">
        <v>0</v>
      </c>
      <c r="S20" s="139">
        <f t="shared" si="5"/>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8">SUM(F16:F20)</f>
        <v>833.33</v>
      </c>
      <c r="G21" s="72">
        <f t="shared" si="8"/>
        <v>833.33</v>
      </c>
      <c r="H21" s="72">
        <f t="shared" si="8"/>
        <v>833.33</v>
      </c>
      <c r="I21" s="72">
        <f t="shared" si="8"/>
        <v>833.33</v>
      </c>
      <c r="J21" s="72">
        <f t="shared" si="8"/>
        <v>833.33</v>
      </c>
      <c r="K21" s="72">
        <f t="shared" si="8"/>
        <v>833.33</v>
      </c>
      <c r="L21" s="72">
        <f t="shared" si="8"/>
        <v>833.33</v>
      </c>
      <c r="M21" s="72">
        <f t="shared" si="8"/>
        <v>833.33</v>
      </c>
      <c r="N21" s="72">
        <f t="shared" si="8"/>
        <v>833.33</v>
      </c>
      <c r="O21" s="72">
        <f t="shared" si="8"/>
        <v>833.33</v>
      </c>
      <c r="P21" s="72">
        <f t="shared" si="8"/>
        <v>833.33</v>
      </c>
      <c r="Q21" s="72">
        <f t="shared" si="8"/>
        <v>833.33</v>
      </c>
      <c r="R21" s="72">
        <f>SUM(R16:R20)</f>
        <v>10000</v>
      </c>
      <c r="S21" s="140">
        <f t="shared" ref="S21:AD21" si="9">SUM(S16:S20)</f>
        <v>833.33</v>
      </c>
      <c r="T21" s="140">
        <f t="shared" si="9"/>
        <v>1666.66</v>
      </c>
      <c r="U21" s="140">
        <f t="shared" si="9"/>
        <v>2499.9900000000002</v>
      </c>
      <c r="V21" s="140">
        <f t="shared" si="9"/>
        <v>3333.32</v>
      </c>
      <c r="W21" s="140">
        <f t="shared" si="9"/>
        <v>4166.6500000000005</v>
      </c>
      <c r="X21" s="140">
        <f t="shared" si="9"/>
        <v>4999.9800000000005</v>
      </c>
      <c r="Y21" s="140">
        <f t="shared" si="9"/>
        <v>5833.31</v>
      </c>
      <c r="Z21" s="140">
        <f t="shared" si="9"/>
        <v>6666.64</v>
      </c>
      <c r="AA21" s="140">
        <f t="shared" si="9"/>
        <v>7499.97</v>
      </c>
      <c r="AB21" s="140">
        <f t="shared" si="9"/>
        <v>8333.3000000000011</v>
      </c>
      <c r="AC21" s="140">
        <f t="shared" si="9"/>
        <v>9166.630000000001</v>
      </c>
      <c r="AD21" s="140">
        <f t="shared" si="9"/>
        <v>9999.9600000000009</v>
      </c>
    </row>
    <row r="22" spans="1:31" x14ac:dyDescent="0.25">
      <c r="A22" s="106">
        <v>17</v>
      </c>
      <c r="B22" s="15" t="s">
        <v>14</v>
      </c>
      <c r="C22" s="15"/>
      <c r="D22" s="15"/>
      <c r="E22" s="90"/>
      <c r="F22" s="72">
        <f t="shared" ref="F22:Q22" si="10">+F13+F21</f>
        <v>833.33</v>
      </c>
      <c r="G22" s="72">
        <f t="shared" si="10"/>
        <v>833.33</v>
      </c>
      <c r="H22" s="72">
        <f t="shared" si="10"/>
        <v>833.33</v>
      </c>
      <c r="I22" s="72">
        <f t="shared" si="10"/>
        <v>833.33</v>
      </c>
      <c r="J22" s="72">
        <f t="shared" si="10"/>
        <v>833.33</v>
      </c>
      <c r="K22" s="72">
        <f t="shared" si="10"/>
        <v>833.33</v>
      </c>
      <c r="L22" s="72">
        <f t="shared" si="10"/>
        <v>833.33</v>
      </c>
      <c r="M22" s="72">
        <f t="shared" si="10"/>
        <v>833.33</v>
      </c>
      <c r="N22" s="72">
        <f t="shared" si="10"/>
        <v>435935.77</v>
      </c>
      <c r="O22" s="72">
        <f t="shared" si="10"/>
        <v>833.33</v>
      </c>
      <c r="P22" s="72">
        <f t="shared" si="10"/>
        <v>833.33</v>
      </c>
      <c r="Q22" s="72">
        <f t="shared" si="10"/>
        <v>128235.89</v>
      </c>
      <c r="R22" s="72">
        <f>+R13+R21</f>
        <v>572505</v>
      </c>
      <c r="S22" s="140">
        <f t="shared" ref="S22:AD22" si="11">+S13+S21</f>
        <v>833.33</v>
      </c>
      <c r="T22" s="140">
        <f t="shared" si="11"/>
        <v>1666.66</v>
      </c>
      <c r="U22" s="140">
        <f t="shared" si="11"/>
        <v>2499.9900000000002</v>
      </c>
      <c r="V22" s="140">
        <f t="shared" si="11"/>
        <v>3333.32</v>
      </c>
      <c r="W22" s="140">
        <f t="shared" si="11"/>
        <v>4166.6500000000005</v>
      </c>
      <c r="X22" s="140">
        <f t="shared" si="11"/>
        <v>4999.9800000000005</v>
      </c>
      <c r="Y22" s="140">
        <f t="shared" si="11"/>
        <v>5833.31</v>
      </c>
      <c r="Z22" s="140">
        <f t="shared" si="11"/>
        <v>6666.64</v>
      </c>
      <c r="AA22" s="140">
        <f t="shared" si="11"/>
        <v>442602.41</v>
      </c>
      <c r="AB22" s="140">
        <f t="shared" si="11"/>
        <v>443435.74</v>
      </c>
      <c r="AC22" s="140">
        <f t="shared" si="11"/>
        <v>444269.07</v>
      </c>
      <c r="AD22" s="140">
        <f t="shared" si="11"/>
        <v>572504.96</v>
      </c>
      <c r="AE22" s="1">
        <f>+AD22*0.033</f>
        <v>18892.663680000001</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137</v>
      </c>
      <c r="S25" s="137"/>
      <c r="T25" s="137"/>
      <c r="U25" s="137"/>
      <c r="V25" s="137"/>
      <c r="W25" s="137"/>
      <c r="X25" s="137"/>
      <c r="Y25" s="137"/>
      <c r="Z25" s="137"/>
      <c r="AA25" s="137"/>
      <c r="AB25" s="137"/>
      <c r="AC25" s="137"/>
      <c r="AD25" s="137"/>
    </row>
    <row r="26" spans="1:31" x14ac:dyDescent="0.25">
      <c r="A26" s="106">
        <v>21</v>
      </c>
      <c r="C26" s="1" t="s">
        <v>17</v>
      </c>
      <c r="R26" s="35">
        <f>+R22</f>
        <v>572505</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-4516</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-684</v>
      </c>
      <c r="S29" s="138"/>
      <c r="T29" s="138"/>
      <c r="U29" s="138"/>
      <c r="V29" s="138"/>
      <c r="W29" s="138"/>
      <c r="X29" s="138"/>
      <c r="Y29" s="138"/>
      <c r="Z29" s="138"/>
      <c r="AA29" s="138"/>
      <c r="AB29" s="138"/>
      <c r="AC29" s="138"/>
      <c r="AD29" s="138"/>
    </row>
    <row r="30" spans="1:31" x14ac:dyDescent="0.25">
      <c r="A30" s="106">
        <v>25</v>
      </c>
      <c r="C30" s="1" t="s">
        <v>17</v>
      </c>
      <c r="R30" s="35">
        <f>SUM(R26:R29)</f>
        <v>512405</v>
      </c>
      <c r="S30" s="137"/>
      <c r="T30" s="137"/>
      <c r="U30" s="137"/>
      <c r="V30" s="137"/>
      <c r="W30" s="137"/>
      <c r="X30" s="137"/>
      <c r="Y30" s="137"/>
      <c r="Z30" s="137"/>
      <c r="AA30" s="137"/>
      <c r="AB30" s="137"/>
      <c r="AC30" s="137"/>
      <c r="AD30" s="137"/>
    </row>
    <row r="31" spans="1:31" s="5" customFormat="1" x14ac:dyDescent="0.25">
      <c r="A31" s="106">
        <v>26</v>
      </c>
      <c r="B31" s="18"/>
      <c r="C31" s="19" t="s">
        <v>138</v>
      </c>
      <c r="D31" s="18"/>
      <c r="E31" s="91"/>
      <c r="F31" s="84"/>
      <c r="G31" s="84"/>
      <c r="H31" s="84"/>
      <c r="I31" s="84"/>
      <c r="J31" s="84"/>
      <c r="K31" s="84"/>
      <c r="L31" s="84"/>
      <c r="M31" s="84"/>
      <c r="N31" s="84">
        <v>38493.19</v>
      </c>
      <c r="O31" s="84"/>
      <c r="P31" s="84"/>
      <c r="Q31" s="103">
        <f>R31-SUM(F31:P31)</f>
        <v>12747.809999999998</v>
      </c>
      <c r="R31" s="73">
        <f>ROUND(+R30*0.1,0)</f>
        <v>51241</v>
      </c>
      <c r="S31" s="143">
        <f>SUM(F31)</f>
        <v>0</v>
      </c>
      <c r="T31" s="143">
        <f>SUM($F31:G31)</f>
        <v>0</v>
      </c>
      <c r="U31" s="143">
        <f>SUM($F31:H31)</f>
        <v>0</v>
      </c>
      <c r="V31" s="143">
        <f>SUM($F31:I31)</f>
        <v>0</v>
      </c>
      <c r="W31" s="143">
        <f>SUM($F31:J31)</f>
        <v>0</v>
      </c>
      <c r="X31" s="143">
        <f>SUM($F31:K31)</f>
        <v>0</v>
      </c>
      <c r="Y31" s="143">
        <f>SUM($F31:L31)</f>
        <v>0</v>
      </c>
      <c r="Z31" s="143">
        <f>SUM($F31:M31)</f>
        <v>0</v>
      </c>
      <c r="AA31" s="143">
        <f>SUM($F31:N31)</f>
        <v>38493.19</v>
      </c>
      <c r="AB31" s="143">
        <f>SUM($F31:O31)</f>
        <v>38493.19</v>
      </c>
      <c r="AC31" s="143">
        <f>SUM($F31:P31)</f>
        <v>38493.19</v>
      </c>
      <c r="AD31" s="143">
        <f>SUM($F31:Q31)</f>
        <v>51241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2">+E$16</f>
        <v>12</v>
      </c>
      <c r="F35" s="79">
        <f t="shared" ref="F35:P36" si="13">ROUND(+$R35/$E35,2)</f>
        <v>291.67</v>
      </c>
      <c r="G35" s="79">
        <f t="shared" si="13"/>
        <v>291.67</v>
      </c>
      <c r="H35" s="79">
        <f t="shared" si="13"/>
        <v>291.67</v>
      </c>
      <c r="I35" s="79">
        <f t="shared" si="13"/>
        <v>291.67</v>
      </c>
      <c r="J35" s="79">
        <f t="shared" si="13"/>
        <v>291.67</v>
      </c>
      <c r="K35" s="79">
        <f t="shared" si="13"/>
        <v>291.67</v>
      </c>
      <c r="L35" s="79">
        <f t="shared" si="13"/>
        <v>291.67</v>
      </c>
      <c r="M35" s="79">
        <f t="shared" si="13"/>
        <v>291.67</v>
      </c>
      <c r="N35" s="79">
        <f>ROUND(+$R35/$E35,2)-2625+2450</f>
        <v>116.67000000000007</v>
      </c>
      <c r="O35" s="79">
        <f t="shared" si="13"/>
        <v>291.67</v>
      </c>
      <c r="P35" s="79">
        <f t="shared" si="13"/>
        <v>291.67</v>
      </c>
      <c r="Q35" s="221">
        <f>ROUND(+$R35/$E35,2)-3325.04+3500</f>
        <v>466.63000000000011</v>
      </c>
      <c r="R35" s="71">
        <v>3500</v>
      </c>
      <c r="S35" s="139">
        <f t="shared" ref="S35:S40" si="14">SUM(F35)</f>
        <v>291.67</v>
      </c>
      <c r="T35" s="139">
        <f>SUM($F35:G35)</f>
        <v>583.34</v>
      </c>
      <c r="U35" s="139">
        <f>SUM($F35:H35)</f>
        <v>875.01</v>
      </c>
      <c r="V35" s="139">
        <f>SUM($F35:I35)</f>
        <v>1166.68</v>
      </c>
      <c r="W35" s="139">
        <f>SUM($F35:J35)</f>
        <v>1458.3500000000001</v>
      </c>
      <c r="X35" s="139">
        <f>SUM($F35:K35)</f>
        <v>1750.0200000000002</v>
      </c>
      <c r="Y35" s="139">
        <f>SUM($F35:L35)</f>
        <v>2041.6900000000003</v>
      </c>
      <c r="Z35" s="139">
        <f>SUM($F35:M35)</f>
        <v>2333.36</v>
      </c>
      <c r="AA35" s="139">
        <f>SUM($F35:N35)</f>
        <v>2450.0300000000002</v>
      </c>
      <c r="AB35" s="139">
        <f>SUM($F35:O35)</f>
        <v>2741.7000000000003</v>
      </c>
      <c r="AC35" s="139">
        <f>SUM($F35:P35)</f>
        <v>3033.3700000000003</v>
      </c>
      <c r="AD35" s="139">
        <f>SUM($F35:Q35)</f>
        <v>3500.0000000000005</v>
      </c>
    </row>
    <row r="36" spans="1:30" x14ac:dyDescent="0.25">
      <c r="A36" s="106">
        <v>31</v>
      </c>
      <c r="C36" s="1" t="s">
        <v>21</v>
      </c>
      <c r="E36" s="101">
        <f t="shared" si="12"/>
        <v>12</v>
      </c>
      <c r="F36" s="79">
        <f t="shared" si="13"/>
        <v>62.5</v>
      </c>
      <c r="G36" s="79">
        <f t="shared" si="13"/>
        <v>62.5</v>
      </c>
      <c r="H36" s="79">
        <f t="shared" si="13"/>
        <v>62.5</v>
      </c>
      <c r="I36" s="79">
        <f t="shared" si="13"/>
        <v>62.5</v>
      </c>
      <c r="J36" s="79">
        <f t="shared" si="13"/>
        <v>62.5</v>
      </c>
      <c r="K36" s="79">
        <f t="shared" si="13"/>
        <v>62.5</v>
      </c>
      <c r="L36" s="79">
        <f t="shared" si="13"/>
        <v>62.5</v>
      </c>
      <c r="M36" s="79">
        <f t="shared" si="13"/>
        <v>62.5</v>
      </c>
      <c r="N36" s="79">
        <f>ROUND(+$R36/$E36,2)-563+525</f>
        <v>24.5</v>
      </c>
      <c r="O36" s="79">
        <f t="shared" si="13"/>
        <v>62.5</v>
      </c>
      <c r="P36" s="79">
        <f t="shared" si="13"/>
        <v>62.5</v>
      </c>
      <c r="Q36" s="79">
        <f>ROUND(+$R36/$E36,2)-712+750</f>
        <v>100.5</v>
      </c>
      <c r="R36" s="71">
        <v>750</v>
      </c>
      <c r="S36" s="139">
        <f t="shared" si="14"/>
        <v>62.5</v>
      </c>
      <c r="T36" s="139">
        <f>SUM($F36:G36)</f>
        <v>125</v>
      </c>
      <c r="U36" s="139">
        <f>SUM($F36:H36)</f>
        <v>187.5</v>
      </c>
      <c r="V36" s="139">
        <f>SUM($F36:I36)</f>
        <v>250</v>
      </c>
      <c r="W36" s="139">
        <f>SUM($F36:J36)</f>
        <v>312.5</v>
      </c>
      <c r="X36" s="139">
        <f>SUM($F36:K36)</f>
        <v>375</v>
      </c>
      <c r="Y36" s="139">
        <f>SUM($F36:L36)</f>
        <v>437.5</v>
      </c>
      <c r="Z36" s="139">
        <f>SUM($F36:M36)</f>
        <v>500</v>
      </c>
      <c r="AA36" s="139">
        <f>SUM($F36:N36)</f>
        <v>524.5</v>
      </c>
      <c r="AB36" s="139">
        <f>SUM($F36:O36)</f>
        <v>587</v>
      </c>
      <c r="AC36" s="139">
        <f>SUM($F36:P36)</f>
        <v>649.5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14"/>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15">+E$16</f>
        <v>12</v>
      </c>
      <c r="F38" s="79">
        <f>ROUND(+$R38/$E38,2)</f>
        <v>41.67</v>
      </c>
      <c r="G38" s="79">
        <f t="shared" ref="G38:Q38" si="16">ROUND(+$R38/$E38,2)</f>
        <v>41.67</v>
      </c>
      <c r="H38" s="79">
        <f t="shared" si="16"/>
        <v>41.67</v>
      </c>
      <c r="I38" s="79">
        <f t="shared" si="16"/>
        <v>41.67</v>
      </c>
      <c r="J38" s="79">
        <f t="shared" si="16"/>
        <v>41.67</v>
      </c>
      <c r="K38" s="79">
        <f t="shared" si="16"/>
        <v>41.67</v>
      </c>
      <c r="L38" s="79">
        <f t="shared" si="16"/>
        <v>41.67</v>
      </c>
      <c r="M38" s="79">
        <f t="shared" si="16"/>
        <v>41.67</v>
      </c>
      <c r="N38" s="79">
        <f t="shared" si="16"/>
        <v>41.67</v>
      </c>
      <c r="O38" s="79">
        <f t="shared" si="16"/>
        <v>41.67</v>
      </c>
      <c r="P38" s="79">
        <f t="shared" si="16"/>
        <v>41.67</v>
      </c>
      <c r="Q38" s="79">
        <f t="shared" si="16"/>
        <v>41.67</v>
      </c>
      <c r="R38" s="71">
        <v>500</v>
      </c>
      <c r="S38" s="139">
        <f t="shared" si="14"/>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14"/>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124</v>
      </c>
      <c r="E40" s="101">
        <f t="shared" ref="E40" si="17">+E$16</f>
        <v>12</v>
      </c>
      <c r="F40" s="79">
        <f>ROUND(+$R40/$E40,2)</f>
        <v>62.5</v>
      </c>
      <c r="G40" s="79">
        <f t="shared" ref="G40:Q40" si="18">ROUND(+$R40/$E40,2)</f>
        <v>62.5</v>
      </c>
      <c r="H40" s="79">
        <f t="shared" si="18"/>
        <v>62.5</v>
      </c>
      <c r="I40" s="79">
        <f t="shared" si="18"/>
        <v>62.5</v>
      </c>
      <c r="J40" s="79">
        <f t="shared" si="18"/>
        <v>62.5</v>
      </c>
      <c r="K40" s="79">
        <f t="shared" si="18"/>
        <v>62.5</v>
      </c>
      <c r="L40" s="79">
        <f t="shared" si="18"/>
        <v>62.5</v>
      </c>
      <c r="M40" s="79">
        <f t="shared" si="18"/>
        <v>62.5</v>
      </c>
      <c r="N40" s="79">
        <f t="shared" si="18"/>
        <v>62.5</v>
      </c>
      <c r="O40" s="79">
        <f t="shared" si="18"/>
        <v>62.5</v>
      </c>
      <c r="P40" s="79">
        <f t="shared" si="18"/>
        <v>62.5</v>
      </c>
      <c r="Q40" s="79">
        <f t="shared" si="18"/>
        <v>62.5</v>
      </c>
      <c r="R40" s="71">
        <v>750</v>
      </c>
      <c r="S40" s="139">
        <f t="shared" si="14"/>
        <v>62.5</v>
      </c>
      <c r="T40" s="139">
        <f>SUM($F40:G40)</f>
        <v>125</v>
      </c>
      <c r="U40" s="139">
        <f>SUM($F40:H40)</f>
        <v>187.5</v>
      </c>
      <c r="V40" s="139">
        <f>SUM($F40:I40)</f>
        <v>250</v>
      </c>
      <c r="W40" s="139">
        <f>SUM($F40:J40)</f>
        <v>312.5</v>
      </c>
      <c r="X40" s="139">
        <f>SUM($F40:K40)</f>
        <v>375</v>
      </c>
      <c r="Y40" s="139">
        <f>SUM($F40:L40)</f>
        <v>437.5</v>
      </c>
      <c r="Z40" s="139">
        <f>SUM($F40:M40)</f>
        <v>500</v>
      </c>
      <c r="AA40" s="139">
        <f>SUM($F40:N40)</f>
        <v>562.5</v>
      </c>
      <c r="AB40" s="139">
        <f>SUM($F40:O40)</f>
        <v>625</v>
      </c>
      <c r="AC40" s="139">
        <f>SUM($F40:P40)</f>
        <v>687.5</v>
      </c>
      <c r="AD40" s="139">
        <f>SUM($F40:Q40)</f>
        <v>750</v>
      </c>
    </row>
    <row r="41" spans="1:30" s="5" customFormat="1" x14ac:dyDescent="0.25">
      <c r="A41" s="106">
        <v>36</v>
      </c>
      <c r="B41" s="51" t="s">
        <v>25</v>
      </c>
      <c r="C41" s="51"/>
      <c r="D41" s="51"/>
      <c r="E41" s="93"/>
      <c r="F41" s="75">
        <f t="shared" ref="F41:Q41" si="19">SUM(F35:F40)</f>
        <v>458.34000000000003</v>
      </c>
      <c r="G41" s="75">
        <f t="shared" si="19"/>
        <v>458.34000000000003</v>
      </c>
      <c r="H41" s="75">
        <f t="shared" si="19"/>
        <v>525</v>
      </c>
      <c r="I41" s="75">
        <f t="shared" si="19"/>
        <v>525.01</v>
      </c>
      <c r="J41" s="75">
        <f t="shared" si="19"/>
        <v>525.01</v>
      </c>
      <c r="K41" s="75">
        <f t="shared" si="19"/>
        <v>458.34000000000003</v>
      </c>
      <c r="L41" s="75">
        <f t="shared" si="19"/>
        <v>458.34000000000003</v>
      </c>
      <c r="M41" s="75">
        <f t="shared" si="19"/>
        <v>1208.3400000000001</v>
      </c>
      <c r="N41" s="75">
        <f t="shared" si="19"/>
        <v>245.34000000000009</v>
      </c>
      <c r="O41" s="75">
        <f t="shared" si="19"/>
        <v>458.34000000000003</v>
      </c>
      <c r="P41" s="75">
        <f t="shared" si="19"/>
        <v>458.34000000000003</v>
      </c>
      <c r="Q41" s="75">
        <f t="shared" si="19"/>
        <v>671.30000000000007</v>
      </c>
      <c r="R41" s="75">
        <f>SUM(R35:R40)</f>
        <v>6450</v>
      </c>
      <c r="S41" s="145">
        <f t="shared" ref="S41:AD41" si="20">SUM(S35:S40)</f>
        <v>458.34000000000003</v>
      </c>
      <c r="T41" s="145">
        <f t="shared" si="20"/>
        <v>916.68000000000006</v>
      </c>
      <c r="U41" s="145">
        <f t="shared" si="20"/>
        <v>1441.68</v>
      </c>
      <c r="V41" s="145">
        <f t="shared" si="20"/>
        <v>1966.69</v>
      </c>
      <c r="W41" s="145">
        <f t="shared" si="20"/>
        <v>2491.7000000000003</v>
      </c>
      <c r="X41" s="145">
        <f t="shared" si="20"/>
        <v>2950.0400000000004</v>
      </c>
      <c r="Y41" s="145">
        <f t="shared" si="20"/>
        <v>3408.3800000000006</v>
      </c>
      <c r="Z41" s="145">
        <f t="shared" si="20"/>
        <v>4616.72</v>
      </c>
      <c r="AA41" s="145">
        <f t="shared" si="20"/>
        <v>4862.0600000000004</v>
      </c>
      <c r="AB41" s="145">
        <f t="shared" si="20"/>
        <v>5320.4000000000005</v>
      </c>
      <c r="AC41" s="145">
        <f t="shared" si="20"/>
        <v>5778.7400000000007</v>
      </c>
      <c r="AD41" s="145">
        <f t="shared" si="20"/>
        <v>6450.04</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1">+E$16</f>
        <v>12</v>
      </c>
      <c r="F43" s="85">
        <f>ROUND(+$R43/$E43,2)</f>
        <v>83.33</v>
      </c>
      <c r="G43" s="85">
        <f t="shared" ref="G43:Q43" si="22">ROUND(+$R43/$E43,2)</f>
        <v>83.33</v>
      </c>
      <c r="H43" s="85">
        <f t="shared" si="22"/>
        <v>83.33</v>
      </c>
      <c r="I43" s="85">
        <f t="shared" si="22"/>
        <v>83.33</v>
      </c>
      <c r="J43" s="85">
        <f t="shared" si="22"/>
        <v>83.33</v>
      </c>
      <c r="K43" s="85">
        <f t="shared" si="22"/>
        <v>83.33</v>
      </c>
      <c r="L43" s="85">
        <f t="shared" si="22"/>
        <v>83.33</v>
      </c>
      <c r="M43" s="85">
        <f t="shared" si="22"/>
        <v>83.33</v>
      </c>
      <c r="N43" s="85">
        <f t="shared" si="22"/>
        <v>83.33</v>
      </c>
      <c r="O43" s="85">
        <f t="shared" si="22"/>
        <v>83.33</v>
      </c>
      <c r="P43" s="85">
        <f t="shared" si="22"/>
        <v>83.33</v>
      </c>
      <c r="Q43" s="85">
        <f t="shared" si="22"/>
        <v>83.33</v>
      </c>
      <c r="R43" s="76">
        <v>1000</v>
      </c>
      <c r="S43" s="147">
        <f t="shared" ref="S43" si="23">SUM(F43)</f>
        <v>83.33</v>
      </c>
      <c r="T43" s="147">
        <f>SUM($F43:G43)</f>
        <v>166.66</v>
      </c>
      <c r="U43" s="147">
        <f>SUM($F43:H43)</f>
        <v>249.99</v>
      </c>
      <c r="V43" s="147">
        <f>SUM($F43:I43)</f>
        <v>333.32</v>
      </c>
      <c r="W43" s="147">
        <f>SUM($F43:J43)</f>
        <v>416.65</v>
      </c>
      <c r="X43" s="147">
        <f>SUM($F43:K43)</f>
        <v>499.97999999999996</v>
      </c>
      <c r="Y43" s="147">
        <f>SUM($F43:L43)</f>
        <v>583.30999999999995</v>
      </c>
      <c r="Z43" s="147">
        <f>SUM($F43:M43)</f>
        <v>666.64</v>
      </c>
      <c r="AA43" s="147">
        <f>SUM($F43:N43)</f>
        <v>749.97</v>
      </c>
      <c r="AB43" s="147">
        <f>SUM($F43:O43)</f>
        <v>833.30000000000007</v>
      </c>
      <c r="AC43" s="147">
        <f>SUM($F43:P43)</f>
        <v>916.63000000000011</v>
      </c>
      <c r="AD43" s="147">
        <f>SUM($F43:Q43)</f>
        <v>999.96000000000015</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4">+E$16</f>
        <v>12</v>
      </c>
      <c r="F46" s="79">
        <f t="shared" ref="F46:Q49" si="25">ROUND(+$R46/$E46,2)</f>
        <v>441.67</v>
      </c>
      <c r="G46" s="79">
        <f t="shared" si="25"/>
        <v>441.67</v>
      </c>
      <c r="H46" s="79">
        <f t="shared" si="25"/>
        <v>441.67</v>
      </c>
      <c r="I46" s="79">
        <f t="shared" si="25"/>
        <v>441.67</v>
      </c>
      <c r="J46" s="79">
        <f t="shared" si="25"/>
        <v>441.67</v>
      </c>
      <c r="K46" s="79">
        <f t="shared" si="25"/>
        <v>441.67</v>
      </c>
      <c r="L46" s="79">
        <f t="shared" si="25"/>
        <v>441.67</v>
      </c>
      <c r="M46" s="79">
        <f t="shared" si="25"/>
        <v>441.67</v>
      </c>
      <c r="N46" s="79">
        <f t="shared" si="25"/>
        <v>441.67</v>
      </c>
      <c r="O46" s="79">
        <f t="shared" si="25"/>
        <v>441.67</v>
      </c>
      <c r="P46" s="79">
        <f t="shared" si="25"/>
        <v>441.67</v>
      </c>
      <c r="Q46" s="79">
        <f t="shared" si="25"/>
        <v>441.67</v>
      </c>
      <c r="R46" s="71">
        <v>5300</v>
      </c>
      <c r="S46" s="139">
        <f t="shared" ref="S46:S49" si="26">SUM(F46)</f>
        <v>441.67</v>
      </c>
      <c r="T46" s="139">
        <f>SUM($F46:G46)</f>
        <v>883.34</v>
      </c>
      <c r="U46" s="139">
        <f>SUM($F46:H46)</f>
        <v>1325.01</v>
      </c>
      <c r="V46" s="139">
        <f>SUM($F46:I46)</f>
        <v>1766.68</v>
      </c>
      <c r="W46" s="139">
        <f>SUM($F46:J46)</f>
        <v>2208.35</v>
      </c>
      <c r="X46" s="139">
        <f>SUM($F46:K46)</f>
        <v>2650.02</v>
      </c>
      <c r="Y46" s="139">
        <f>SUM($F46:L46)</f>
        <v>3091.69</v>
      </c>
      <c r="Z46" s="139">
        <f>SUM($F46:M46)</f>
        <v>3533.36</v>
      </c>
      <c r="AA46" s="139">
        <f>SUM($F46:N46)</f>
        <v>3975.03</v>
      </c>
      <c r="AB46" s="139">
        <f>SUM($F46:O46)</f>
        <v>4416.7</v>
      </c>
      <c r="AC46" s="139">
        <f>SUM($F46:P46)</f>
        <v>4858.37</v>
      </c>
      <c r="AD46" s="139">
        <f>SUM($F46:Q46)</f>
        <v>5300.04</v>
      </c>
    </row>
    <row r="47" spans="1:30" x14ac:dyDescent="0.25">
      <c r="A47" s="106">
        <v>42</v>
      </c>
      <c r="C47" s="1" t="s">
        <v>30</v>
      </c>
      <c r="E47" s="101">
        <f t="shared" si="24"/>
        <v>12</v>
      </c>
      <c r="F47" s="79">
        <f t="shared" si="25"/>
        <v>108.33</v>
      </c>
      <c r="G47" s="79">
        <f t="shared" si="25"/>
        <v>108.33</v>
      </c>
      <c r="H47" s="79">
        <f t="shared" si="25"/>
        <v>108.33</v>
      </c>
      <c r="I47" s="79">
        <f t="shared" si="25"/>
        <v>108.33</v>
      </c>
      <c r="J47" s="79">
        <f t="shared" si="25"/>
        <v>108.33</v>
      </c>
      <c r="K47" s="79">
        <f t="shared" si="25"/>
        <v>108.33</v>
      </c>
      <c r="L47" s="79">
        <f t="shared" si="25"/>
        <v>108.33</v>
      </c>
      <c r="M47" s="79">
        <f t="shared" si="25"/>
        <v>108.33</v>
      </c>
      <c r="N47" s="79">
        <f t="shared" si="25"/>
        <v>108.33</v>
      </c>
      <c r="O47" s="79">
        <f t="shared" si="25"/>
        <v>108.33</v>
      </c>
      <c r="P47" s="79">
        <f t="shared" si="25"/>
        <v>108.33</v>
      </c>
      <c r="Q47" s="79">
        <f t="shared" si="25"/>
        <v>108.33</v>
      </c>
      <c r="R47" s="71">
        <v>1300</v>
      </c>
      <c r="S47" s="139">
        <f t="shared" si="26"/>
        <v>108.33</v>
      </c>
      <c r="T47" s="139">
        <f>SUM($F47:G47)</f>
        <v>216.66</v>
      </c>
      <c r="U47" s="139">
        <f>SUM($F47:H47)</f>
        <v>324.99</v>
      </c>
      <c r="V47" s="139">
        <f>SUM($F47:I47)</f>
        <v>433.32</v>
      </c>
      <c r="W47" s="139">
        <f>SUM($F47:J47)</f>
        <v>541.65</v>
      </c>
      <c r="X47" s="139">
        <f>SUM($F47:K47)</f>
        <v>649.98</v>
      </c>
      <c r="Y47" s="139">
        <f>SUM($F47:L47)</f>
        <v>758.31000000000006</v>
      </c>
      <c r="Z47" s="139">
        <f>SUM($F47:M47)</f>
        <v>866.6400000000001</v>
      </c>
      <c r="AA47" s="139">
        <f>SUM($F47:N47)</f>
        <v>974.97000000000014</v>
      </c>
      <c r="AB47" s="139">
        <f>SUM($F47:O47)</f>
        <v>1083.3000000000002</v>
      </c>
      <c r="AC47" s="139">
        <f>SUM($F47:P47)</f>
        <v>1191.6300000000001</v>
      </c>
      <c r="AD47" s="139">
        <f>SUM($F47:Q47)</f>
        <v>1299.96</v>
      </c>
    </row>
    <row r="48" spans="1:30" x14ac:dyDescent="0.25">
      <c r="A48" s="106">
        <v>43</v>
      </c>
      <c r="C48" s="1" t="s">
        <v>31</v>
      </c>
      <c r="E48" s="101">
        <f t="shared" si="24"/>
        <v>12</v>
      </c>
      <c r="F48" s="79">
        <f t="shared" si="25"/>
        <v>83.33</v>
      </c>
      <c r="G48" s="79">
        <f t="shared" si="25"/>
        <v>83.33</v>
      </c>
      <c r="H48" s="79">
        <f t="shared" si="25"/>
        <v>83.33</v>
      </c>
      <c r="I48" s="79">
        <f t="shared" si="25"/>
        <v>83.33</v>
      </c>
      <c r="J48" s="79">
        <f t="shared" si="25"/>
        <v>83.33</v>
      </c>
      <c r="K48" s="79">
        <f t="shared" si="25"/>
        <v>83.33</v>
      </c>
      <c r="L48" s="79">
        <f t="shared" si="25"/>
        <v>83.33</v>
      </c>
      <c r="M48" s="79">
        <f t="shared" si="25"/>
        <v>83.33</v>
      </c>
      <c r="N48" s="79">
        <f t="shared" si="25"/>
        <v>83.33</v>
      </c>
      <c r="O48" s="79">
        <f t="shared" si="25"/>
        <v>83.33</v>
      </c>
      <c r="P48" s="79">
        <f t="shared" si="25"/>
        <v>83.33</v>
      </c>
      <c r="Q48" s="79">
        <f t="shared" si="25"/>
        <v>83.33</v>
      </c>
      <c r="R48" s="71">
        <v>1000</v>
      </c>
      <c r="S48" s="139">
        <f t="shared" si="26"/>
        <v>83.33</v>
      </c>
      <c r="T48" s="139">
        <f>SUM($F48:G48)</f>
        <v>166.66</v>
      </c>
      <c r="U48" s="139">
        <f>SUM($F48:H48)</f>
        <v>249.99</v>
      </c>
      <c r="V48" s="139">
        <f>SUM($F48:I48)</f>
        <v>333.32</v>
      </c>
      <c r="W48" s="139">
        <f>SUM($F48:J48)</f>
        <v>416.65</v>
      </c>
      <c r="X48" s="139">
        <f>SUM($F48:K48)</f>
        <v>499.97999999999996</v>
      </c>
      <c r="Y48" s="139">
        <f>SUM($F48:L48)</f>
        <v>583.30999999999995</v>
      </c>
      <c r="Z48" s="139">
        <f>SUM($F48:M48)</f>
        <v>666.64</v>
      </c>
      <c r="AA48" s="139">
        <f>SUM($F48:N48)</f>
        <v>749.97</v>
      </c>
      <c r="AB48" s="139">
        <f>SUM($F48:O48)</f>
        <v>833.30000000000007</v>
      </c>
      <c r="AC48" s="139">
        <f>SUM($F48:P48)</f>
        <v>916.63000000000011</v>
      </c>
      <c r="AD48" s="139">
        <f>SUM($F48:Q48)</f>
        <v>999.96000000000015</v>
      </c>
    </row>
    <row r="49" spans="1:30" x14ac:dyDescent="0.25">
      <c r="A49" s="106">
        <v>44</v>
      </c>
      <c r="C49" s="1" t="s">
        <v>32</v>
      </c>
      <c r="E49" s="101">
        <f t="shared" si="24"/>
        <v>12</v>
      </c>
      <c r="F49" s="79">
        <f t="shared" si="25"/>
        <v>25</v>
      </c>
      <c r="G49" s="79">
        <f t="shared" si="25"/>
        <v>25</v>
      </c>
      <c r="H49" s="79">
        <f t="shared" si="25"/>
        <v>25</v>
      </c>
      <c r="I49" s="79">
        <f t="shared" si="25"/>
        <v>25</v>
      </c>
      <c r="J49" s="79">
        <f t="shared" si="25"/>
        <v>25</v>
      </c>
      <c r="K49" s="79">
        <f t="shared" si="25"/>
        <v>25</v>
      </c>
      <c r="L49" s="79">
        <f t="shared" si="25"/>
        <v>25</v>
      </c>
      <c r="M49" s="79">
        <f t="shared" si="25"/>
        <v>25</v>
      </c>
      <c r="N49" s="79">
        <f t="shared" si="25"/>
        <v>25</v>
      </c>
      <c r="O49" s="79">
        <f t="shared" si="25"/>
        <v>25</v>
      </c>
      <c r="P49" s="79">
        <f t="shared" si="25"/>
        <v>25</v>
      </c>
      <c r="Q49" s="79">
        <f t="shared" si="25"/>
        <v>25</v>
      </c>
      <c r="R49" s="71">
        <v>300</v>
      </c>
      <c r="S49" s="139">
        <f t="shared" si="26"/>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Q50" si="27">SUM(F46:F49)</f>
        <v>658.33</v>
      </c>
      <c r="G50" s="75">
        <f t="shared" si="27"/>
        <v>658.33</v>
      </c>
      <c r="H50" s="75">
        <f t="shared" si="27"/>
        <v>658.33</v>
      </c>
      <c r="I50" s="75">
        <f t="shared" si="27"/>
        <v>658.33</v>
      </c>
      <c r="J50" s="75">
        <f t="shared" si="27"/>
        <v>658.33</v>
      </c>
      <c r="K50" s="75">
        <f t="shared" si="27"/>
        <v>658.33</v>
      </c>
      <c r="L50" s="75">
        <f t="shared" si="27"/>
        <v>658.33</v>
      </c>
      <c r="M50" s="75">
        <f t="shared" si="27"/>
        <v>658.33</v>
      </c>
      <c r="N50" s="75">
        <f t="shared" si="27"/>
        <v>658.33</v>
      </c>
      <c r="O50" s="75">
        <f t="shared" si="27"/>
        <v>658.33</v>
      </c>
      <c r="P50" s="75">
        <f t="shared" si="27"/>
        <v>658.33</v>
      </c>
      <c r="Q50" s="75">
        <f t="shared" si="27"/>
        <v>658.33</v>
      </c>
      <c r="R50" s="75">
        <f>SUM(R46:R49)</f>
        <v>7900</v>
      </c>
      <c r="S50" s="145">
        <f t="shared" ref="S50:AD50" si="28">SUM(S46:S49)</f>
        <v>658.33</v>
      </c>
      <c r="T50" s="145">
        <f t="shared" si="28"/>
        <v>1316.66</v>
      </c>
      <c r="U50" s="145">
        <f t="shared" si="28"/>
        <v>1974.99</v>
      </c>
      <c r="V50" s="145">
        <f t="shared" si="28"/>
        <v>2633.32</v>
      </c>
      <c r="W50" s="145">
        <f t="shared" si="28"/>
        <v>3291.65</v>
      </c>
      <c r="X50" s="145">
        <f t="shared" si="28"/>
        <v>3949.98</v>
      </c>
      <c r="Y50" s="145">
        <f t="shared" si="28"/>
        <v>4608.3099999999995</v>
      </c>
      <c r="Z50" s="145">
        <f t="shared" si="28"/>
        <v>5266.64</v>
      </c>
      <c r="AA50" s="145">
        <f t="shared" si="28"/>
        <v>5924.97</v>
      </c>
      <c r="AB50" s="145">
        <f t="shared" si="28"/>
        <v>6583.3</v>
      </c>
      <c r="AC50" s="145">
        <f t="shared" si="28"/>
        <v>7241.63</v>
      </c>
      <c r="AD50" s="145">
        <f t="shared" si="28"/>
        <v>7899.96</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9">+E$16</f>
        <v>12</v>
      </c>
      <c r="F53" s="79">
        <f t="shared" ref="F53:Q55" si="30">ROUND(+$R53/$E53,2)</f>
        <v>583.33000000000004</v>
      </c>
      <c r="G53" s="79">
        <f t="shared" si="30"/>
        <v>583.33000000000004</v>
      </c>
      <c r="H53" s="79">
        <f t="shared" si="30"/>
        <v>583.33000000000004</v>
      </c>
      <c r="I53" s="79">
        <f t="shared" si="30"/>
        <v>583.33000000000004</v>
      </c>
      <c r="J53" s="79">
        <f t="shared" si="30"/>
        <v>583.33000000000004</v>
      </c>
      <c r="K53" s="79">
        <f t="shared" si="30"/>
        <v>583.33000000000004</v>
      </c>
      <c r="L53" s="79">
        <f t="shared" si="30"/>
        <v>583.33000000000004</v>
      </c>
      <c r="M53" s="79">
        <f t="shared" si="30"/>
        <v>583.33000000000004</v>
      </c>
      <c r="N53" s="79">
        <f t="shared" si="30"/>
        <v>583.33000000000004</v>
      </c>
      <c r="O53" s="79">
        <f t="shared" si="30"/>
        <v>583.33000000000004</v>
      </c>
      <c r="P53" s="79">
        <f t="shared" si="30"/>
        <v>583.33000000000004</v>
      </c>
      <c r="Q53" s="79">
        <f t="shared" si="30"/>
        <v>583.33000000000004</v>
      </c>
      <c r="R53" s="71">
        <v>7000</v>
      </c>
      <c r="S53" s="139">
        <f t="shared" ref="S53:S55" si="31">SUM(F53)</f>
        <v>583.33000000000004</v>
      </c>
      <c r="T53" s="139">
        <f>SUM($F53:G53)</f>
        <v>1166.6600000000001</v>
      </c>
      <c r="U53" s="139">
        <f>SUM($F53:H53)</f>
        <v>1749.9900000000002</v>
      </c>
      <c r="V53" s="139">
        <f>SUM($F53:I53)</f>
        <v>2333.3200000000002</v>
      </c>
      <c r="W53" s="139">
        <f>SUM($F53:J53)</f>
        <v>2916.65</v>
      </c>
      <c r="X53" s="139">
        <f>SUM($F53:K53)</f>
        <v>3499.98</v>
      </c>
      <c r="Y53" s="139">
        <f>SUM($F53:L53)</f>
        <v>4083.31</v>
      </c>
      <c r="Z53" s="139">
        <f>SUM($F53:M53)</f>
        <v>4666.6400000000003</v>
      </c>
      <c r="AA53" s="139">
        <f>SUM($F53:N53)</f>
        <v>5249.97</v>
      </c>
      <c r="AB53" s="139">
        <f>SUM($F53:O53)</f>
        <v>5833.3</v>
      </c>
      <c r="AC53" s="139">
        <f>SUM($F53:P53)</f>
        <v>6416.63</v>
      </c>
      <c r="AD53" s="139">
        <f>SUM($F53:Q53)</f>
        <v>6999.96</v>
      </c>
    </row>
    <row r="54" spans="1:30" x14ac:dyDescent="0.25">
      <c r="A54" s="106">
        <v>49</v>
      </c>
      <c r="C54" s="1" t="s">
        <v>143</v>
      </c>
      <c r="E54" s="101">
        <f t="shared" si="29"/>
        <v>12</v>
      </c>
      <c r="F54" s="79">
        <f t="shared" si="30"/>
        <v>0</v>
      </c>
      <c r="G54" s="79">
        <f t="shared" si="30"/>
        <v>0</v>
      </c>
      <c r="H54" s="79">
        <f t="shared" si="30"/>
        <v>0</v>
      </c>
      <c r="I54" s="79">
        <f t="shared" si="30"/>
        <v>0</v>
      </c>
      <c r="J54" s="79">
        <f t="shared" si="30"/>
        <v>0</v>
      </c>
      <c r="K54" s="79">
        <f t="shared" si="30"/>
        <v>0</v>
      </c>
      <c r="L54" s="79">
        <f t="shared" si="30"/>
        <v>0</v>
      </c>
      <c r="M54" s="79">
        <f t="shared" si="30"/>
        <v>0</v>
      </c>
      <c r="N54" s="79">
        <f t="shared" si="30"/>
        <v>0</v>
      </c>
      <c r="O54" s="79">
        <f t="shared" si="30"/>
        <v>0</v>
      </c>
      <c r="P54" s="79">
        <f t="shared" si="30"/>
        <v>0</v>
      </c>
      <c r="Q54" s="79">
        <f t="shared" si="30"/>
        <v>0</v>
      </c>
      <c r="R54" s="71">
        <v>0</v>
      </c>
      <c r="S54" s="139">
        <f t="shared" si="31"/>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f t="shared" si="29"/>
        <v>12</v>
      </c>
      <c r="F55" s="79">
        <f t="shared" si="30"/>
        <v>0</v>
      </c>
      <c r="G55" s="79">
        <f t="shared" si="30"/>
        <v>0</v>
      </c>
      <c r="H55" s="79">
        <f t="shared" si="30"/>
        <v>0</v>
      </c>
      <c r="I55" s="79">
        <f t="shared" si="30"/>
        <v>0</v>
      </c>
      <c r="J55" s="79">
        <f t="shared" si="30"/>
        <v>0</v>
      </c>
      <c r="K55" s="79">
        <f t="shared" si="30"/>
        <v>0</v>
      </c>
      <c r="L55" s="79">
        <f t="shared" si="30"/>
        <v>0</v>
      </c>
      <c r="M55" s="79">
        <f t="shared" si="30"/>
        <v>0</v>
      </c>
      <c r="N55" s="79">
        <f t="shared" si="30"/>
        <v>0</v>
      </c>
      <c r="O55" s="79">
        <f t="shared" si="30"/>
        <v>0</v>
      </c>
      <c r="P55" s="79">
        <f t="shared" si="30"/>
        <v>0</v>
      </c>
      <c r="Q55" s="79">
        <f t="shared" si="30"/>
        <v>0</v>
      </c>
      <c r="R55" s="71">
        <v>0</v>
      </c>
      <c r="S55" s="139">
        <f t="shared" si="31"/>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32">SUM(F53:F55)</f>
        <v>583.33000000000004</v>
      </c>
      <c r="G56" s="75">
        <f t="shared" si="32"/>
        <v>583.33000000000004</v>
      </c>
      <c r="H56" s="75">
        <f t="shared" si="32"/>
        <v>583.33000000000004</v>
      </c>
      <c r="I56" s="75">
        <f t="shared" si="32"/>
        <v>583.33000000000004</v>
      </c>
      <c r="J56" s="75">
        <f t="shared" si="32"/>
        <v>583.33000000000004</v>
      </c>
      <c r="K56" s="75">
        <f t="shared" si="32"/>
        <v>583.33000000000004</v>
      </c>
      <c r="L56" s="75">
        <f t="shared" si="32"/>
        <v>583.33000000000004</v>
      </c>
      <c r="M56" s="75">
        <f t="shared" si="32"/>
        <v>583.33000000000004</v>
      </c>
      <c r="N56" s="75">
        <f t="shared" si="32"/>
        <v>583.33000000000004</v>
      </c>
      <c r="O56" s="75">
        <f t="shared" si="32"/>
        <v>583.33000000000004</v>
      </c>
      <c r="P56" s="75">
        <f t="shared" si="32"/>
        <v>583.33000000000004</v>
      </c>
      <c r="Q56" s="75">
        <f t="shared" si="32"/>
        <v>583.33000000000004</v>
      </c>
      <c r="R56" s="75">
        <f>SUM(R53:R55)</f>
        <v>7000</v>
      </c>
      <c r="S56" s="145">
        <f t="shared" ref="S56:AD56" si="33">SUM(S53:S55)</f>
        <v>583.33000000000004</v>
      </c>
      <c r="T56" s="145">
        <f t="shared" si="33"/>
        <v>1166.6600000000001</v>
      </c>
      <c r="U56" s="145">
        <f t="shared" si="33"/>
        <v>1749.9900000000002</v>
      </c>
      <c r="V56" s="145">
        <f t="shared" si="33"/>
        <v>2333.3200000000002</v>
      </c>
      <c r="W56" s="145">
        <f t="shared" si="33"/>
        <v>2916.65</v>
      </c>
      <c r="X56" s="145">
        <f t="shared" si="33"/>
        <v>3499.98</v>
      </c>
      <c r="Y56" s="145">
        <f t="shared" si="33"/>
        <v>4083.31</v>
      </c>
      <c r="Z56" s="145">
        <f t="shared" si="33"/>
        <v>4666.6400000000003</v>
      </c>
      <c r="AA56" s="145">
        <f t="shared" si="33"/>
        <v>5249.97</v>
      </c>
      <c r="AB56" s="145">
        <f t="shared" si="33"/>
        <v>5833.3</v>
      </c>
      <c r="AC56" s="145">
        <f t="shared" si="33"/>
        <v>6416.63</v>
      </c>
      <c r="AD56" s="145">
        <f t="shared" si="33"/>
        <v>6999.96</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f t="shared" ref="E59:E60" si="34">+E$16</f>
        <v>12</v>
      </c>
      <c r="F59" s="79">
        <f t="shared" ref="F59:Q60" si="35">ROUND(+$R59/$E59,2)</f>
        <v>25</v>
      </c>
      <c r="G59" s="79">
        <f t="shared" si="35"/>
        <v>25</v>
      </c>
      <c r="H59" s="79">
        <f t="shared" si="35"/>
        <v>25</v>
      </c>
      <c r="I59" s="79">
        <f t="shared" si="35"/>
        <v>25</v>
      </c>
      <c r="J59" s="79">
        <f t="shared" si="35"/>
        <v>25</v>
      </c>
      <c r="K59" s="79">
        <f t="shared" si="35"/>
        <v>25</v>
      </c>
      <c r="L59" s="79">
        <f t="shared" si="35"/>
        <v>25</v>
      </c>
      <c r="M59" s="79">
        <f t="shared" si="35"/>
        <v>25</v>
      </c>
      <c r="N59" s="79">
        <f t="shared" si="35"/>
        <v>25</v>
      </c>
      <c r="O59" s="79">
        <f t="shared" si="35"/>
        <v>25</v>
      </c>
      <c r="P59" s="79">
        <f t="shared" si="35"/>
        <v>25</v>
      </c>
      <c r="Q59" s="79">
        <f t="shared" si="35"/>
        <v>25</v>
      </c>
      <c r="R59" s="71">
        <v>300</v>
      </c>
      <c r="S59" s="139">
        <f t="shared" ref="S59:S60" si="36">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34"/>
        <v>12</v>
      </c>
      <c r="F60" s="79">
        <f t="shared" si="35"/>
        <v>33.33</v>
      </c>
      <c r="G60" s="79">
        <f t="shared" si="35"/>
        <v>33.33</v>
      </c>
      <c r="H60" s="79">
        <f t="shared" si="35"/>
        <v>33.33</v>
      </c>
      <c r="I60" s="79">
        <f t="shared" si="35"/>
        <v>33.33</v>
      </c>
      <c r="J60" s="79">
        <f t="shared" si="35"/>
        <v>33.33</v>
      </c>
      <c r="K60" s="79">
        <f t="shared" si="35"/>
        <v>33.33</v>
      </c>
      <c r="L60" s="79">
        <f t="shared" si="35"/>
        <v>33.33</v>
      </c>
      <c r="M60" s="79">
        <f t="shared" si="35"/>
        <v>33.33</v>
      </c>
      <c r="N60" s="79">
        <f t="shared" si="35"/>
        <v>33.33</v>
      </c>
      <c r="O60" s="79">
        <f t="shared" si="35"/>
        <v>33.33</v>
      </c>
      <c r="P60" s="79">
        <f t="shared" si="35"/>
        <v>33.33</v>
      </c>
      <c r="Q60" s="79">
        <f t="shared" si="35"/>
        <v>33.33</v>
      </c>
      <c r="R60" s="71">
        <v>400</v>
      </c>
      <c r="S60" s="139">
        <f t="shared" si="36"/>
        <v>33.33</v>
      </c>
      <c r="T60" s="139">
        <f>SUM($F60:G60)</f>
        <v>66.66</v>
      </c>
      <c r="U60" s="139">
        <f>SUM($F60:H60)</f>
        <v>99.99</v>
      </c>
      <c r="V60" s="139">
        <f>SUM($F60:I60)</f>
        <v>133.32</v>
      </c>
      <c r="W60" s="139">
        <f>SUM($F60:J60)</f>
        <v>166.64999999999998</v>
      </c>
      <c r="X60" s="139">
        <f>SUM($F60:K60)</f>
        <v>199.97999999999996</v>
      </c>
      <c r="Y60" s="139">
        <f>SUM($F60:L60)</f>
        <v>233.30999999999995</v>
      </c>
      <c r="Z60" s="139">
        <f>SUM($F60:M60)</f>
        <v>266.63999999999993</v>
      </c>
      <c r="AA60" s="139">
        <f>SUM($F60:N60)</f>
        <v>299.96999999999991</v>
      </c>
      <c r="AB60" s="139">
        <f>SUM($F60:O60)</f>
        <v>333.2999999999999</v>
      </c>
      <c r="AC60" s="139">
        <f>SUM($F60:P60)</f>
        <v>366.62999999999988</v>
      </c>
      <c r="AD60" s="139">
        <f>SUM($F60:Q60)</f>
        <v>399.95999999999987</v>
      </c>
    </row>
    <row r="61" spans="1:30" s="5" customFormat="1" x14ac:dyDescent="0.25">
      <c r="A61" s="106">
        <v>56</v>
      </c>
      <c r="B61" s="51" t="s">
        <v>127</v>
      </c>
      <c r="C61" s="51"/>
      <c r="D61" s="51"/>
      <c r="E61" s="93"/>
      <c r="F61" s="75">
        <f t="shared" ref="F61:Q61" si="37">SUM(F59:F60)</f>
        <v>58.33</v>
      </c>
      <c r="G61" s="75">
        <f t="shared" si="37"/>
        <v>58.33</v>
      </c>
      <c r="H61" s="75">
        <f t="shared" si="37"/>
        <v>58.33</v>
      </c>
      <c r="I61" s="75">
        <f t="shared" si="37"/>
        <v>58.33</v>
      </c>
      <c r="J61" s="75">
        <f t="shared" si="37"/>
        <v>58.33</v>
      </c>
      <c r="K61" s="75">
        <f t="shared" si="37"/>
        <v>58.33</v>
      </c>
      <c r="L61" s="75">
        <f t="shared" si="37"/>
        <v>58.33</v>
      </c>
      <c r="M61" s="75">
        <f t="shared" si="37"/>
        <v>58.33</v>
      </c>
      <c r="N61" s="75">
        <f t="shared" si="37"/>
        <v>58.33</v>
      </c>
      <c r="O61" s="75">
        <f t="shared" si="37"/>
        <v>58.33</v>
      </c>
      <c r="P61" s="75">
        <f t="shared" si="37"/>
        <v>58.33</v>
      </c>
      <c r="Q61" s="75">
        <f t="shared" si="37"/>
        <v>58.33</v>
      </c>
      <c r="R61" s="75">
        <f>SUM(R59:R60)</f>
        <v>700</v>
      </c>
      <c r="S61" s="145">
        <f t="shared" ref="S61:AD61" si="38">SUM(S59:S60)</f>
        <v>58.33</v>
      </c>
      <c r="T61" s="145">
        <f t="shared" si="38"/>
        <v>116.66</v>
      </c>
      <c r="U61" s="145">
        <f t="shared" si="38"/>
        <v>174.99</v>
      </c>
      <c r="V61" s="145">
        <f t="shared" si="38"/>
        <v>233.32</v>
      </c>
      <c r="W61" s="145">
        <f t="shared" si="38"/>
        <v>291.64999999999998</v>
      </c>
      <c r="X61" s="145">
        <f t="shared" si="38"/>
        <v>349.97999999999996</v>
      </c>
      <c r="Y61" s="145">
        <f t="shared" si="38"/>
        <v>408.30999999999995</v>
      </c>
      <c r="Z61" s="145">
        <f t="shared" si="38"/>
        <v>466.63999999999993</v>
      </c>
      <c r="AA61" s="145">
        <f t="shared" si="38"/>
        <v>524.96999999999991</v>
      </c>
      <c r="AB61" s="145">
        <f t="shared" si="38"/>
        <v>583.29999999999995</v>
      </c>
      <c r="AC61" s="145">
        <f t="shared" si="38"/>
        <v>641.62999999999988</v>
      </c>
      <c r="AD61" s="145">
        <f t="shared" si="38"/>
        <v>699.95999999999981</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9">+E$16</f>
        <v>12</v>
      </c>
      <c r="F63" s="86">
        <f t="shared" ref="F63:Q63" si="40">ROUND(+$R63/$E63,2)</f>
        <v>16.670000000000002</v>
      </c>
      <c r="G63" s="86">
        <f t="shared" si="40"/>
        <v>16.670000000000002</v>
      </c>
      <c r="H63" s="86">
        <f t="shared" si="40"/>
        <v>16.670000000000002</v>
      </c>
      <c r="I63" s="86">
        <f t="shared" si="40"/>
        <v>16.670000000000002</v>
      </c>
      <c r="J63" s="86">
        <f t="shared" si="40"/>
        <v>16.670000000000002</v>
      </c>
      <c r="K63" s="86">
        <f t="shared" si="40"/>
        <v>16.670000000000002</v>
      </c>
      <c r="L63" s="86">
        <f t="shared" si="40"/>
        <v>16.670000000000002</v>
      </c>
      <c r="M63" s="86">
        <f t="shared" si="40"/>
        <v>16.670000000000002</v>
      </c>
      <c r="N63" s="86">
        <f t="shared" si="40"/>
        <v>16.670000000000002</v>
      </c>
      <c r="O63" s="86">
        <f t="shared" si="40"/>
        <v>16.670000000000002</v>
      </c>
      <c r="P63" s="86">
        <f t="shared" si="40"/>
        <v>16.670000000000002</v>
      </c>
      <c r="Q63" s="86">
        <f t="shared" si="40"/>
        <v>16.670000000000002</v>
      </c>
      <c r="R63" s="77">
        <v>200</v>
      </c>
      <c r="S63" s="147">
        <f t="shared" ref="S63" si="41">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150</v>
      </c>
      <c r="P66" s="71">
        <v>150</v>
      </c>
      <c r="Q66" s="71">
        <v>0</v>
      </c>
      <c r="R66" s="79">
        <f>SUM(F66:Q66)</f>
        <v>300</v>
      </c>
      <c r="S66" s="139">
        <f t="shared" ref="S66:S70" si="4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150</v>
      </c>
      <c r="AC66" s="139">
        <f>SUM($F66:P66)</f>
        <v>300</v>
      </c>
      <c r="AD66" s="139">
        <f>SUM($F66:Q66)</f>
        <v>300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42"/>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42"/>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3">+E$16</f>
        <v>12</v>
      </c>
      <c r="F69" s="79">
        <f t="shared" ref="F69:Q70" si="44">ROUND(+$R69/$E69,2)</f>
        <v>50</v>
      </c>
      <c r="G69" s="79">
        <f t="shared" si="44"/>
        <v>50</v>
      </c>
      <c r="H69" s="79">
        <f t="shared" si="44"/>
        <v>50</v>
      </c>
      <c r="I69" s="79">
        <f t="shared" si="44"/>
        <v>50</v>
      </c>
      <c r="J69" s="79">
        <f t="shared" si="44"/>
        <v>50</v>
      </c>
      <c r="K69" s="79">
        <f t="shared" si="44"/>
        <v>50</v>
      </c>
      <c r="L69" s="79">
        <f t="shared" si="44"/>
        <v>50</v>
      </c>
      <c r="M69" s="79">
        <f t="shared" si="44"/>
        <v>50</v>
      </c>
      <c r="N69" s="79">
        <f t="shared" si="44"/>
        <v>50</v>
      </c>
      <c r="O69" s="79">
        <f t="shared" si="44"/>
        <v>50</v>
      </c>
      <c r="P69" s="79">
        <f t="shared" si="44"/>
        <v>50</v>
      </c>
      <c r="Q69" s="79">
        <f t="shared" si="44"/>
        <v>50</v>
      </c>
      <c r="R69" s="71">
        <v>600</v>
      </c>
      <c r="S69" s="139">
        <f t="shared" si="42"/>
        <v>50</v>
      </c>
      <c r="T69" s="139">
        <f>SUM($F69:G69)</f>
        <v>100</v>
      </c>
      <c r="U69" s="139">
        <f>SUM($F69:H69)</f>
        <v>150</v>
      </c>
      <c r="V69" s="139">
        <f>SUM($F69:I69)</f>
        <v>200</v>
      </c>
      <c r="W69" s="139">
        <f>SUM($F69:J69)</f>
        <v>250</v>
      </c>
      <c r="X69" s="139">
        <f>SUM($F69:K69)</f>
        <v>300</v>
      </c>
      <c r="Y69" s="139">
        <f>SUM($F69:L69)</f>
        <v>350</v>
      </c>
      <c r="Z69" s="139">
        <f>SUM($F69:M69)</f>
        <v>400</v>
      </c>
      <c r="AA69" s="139">
        <f>SUM($F69:N69)</f>
        <v>450</v>
      </c>
      <c r="AB69" s="139">
        <f>SUM($F69:O69)</f>
        <v>500</v>
      </c>
      <c r="AC69" s="139">
        <f>SUM($F69:P69)</f>
        <v>550</v>
      </c>
      <c r="AD69" s="139">
        <f>SUM($F69:Q69)</f>
        <v>600</v>
      </c>
    </row>
    <row r="70" spans="1:30" x14ac:dyDescent="0.25">
      <c r="A70" s="106">
        <v>65</v>
      </c>
      <c r="C70" s="1" t="s">
        <v>42</v>
      </c>
      <c r="E70" s="101">
        <f t="shared" si="43"/>
        <v>12</v>
      </c>
      <c r="F70" s="79">
        <f t="shared" si="44"/>
        <v>66.67</v>
      </c>
      <c r="G70" s="79">
        <f t="shared" si="44"/>
        <v>66.67</v>
      </c>
      <c r="H70" s="79">
        <f t="shared" si="44"/>
        <v>66.67</v>
      </c>
      <c r="I70" s="79">
        <f t="shared" si="44"/>
        <v>66.67</v>
      </c>
      <c r="J70" s="79">
        <f t="shared" si="44"/>
        <v>66.67</v>
      </c>
      <c r="K70" s="79">
        <f t="shared" si="44"/>
        <v>66.67</v>
      </c>
      <c r="L70" s="79">
        <f t="shared" si="44"/>
        <v>66.67</v>
      </c>
      <c r="M70" s="79">
        <f t="shared" si="44"/>
        <v>66.67</v>
      </c>
      <c r="N70" s="79">
        <f t="shared" si="44"/>
        <v>66.67</v>
      </c>
      <c r="O70" s="79">
        <f t="shared" si="44"/>
        <v>66.67</v>
      </c>
      <c r="P70" s="79">
        <f t="shared" si="44"/>
        <v>66.67</v>
      </c>
      <c r="Q70" s="79">
        <f t="shared" si="44"/>
        <v>66.67</v>
      </c>
      <c r="R70" s="71">
        <v>800</v>
      </c>
      <c r="S70" s="139">
        <f t="shared" si="42"/>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5">SUM(F66:F70)</f>
        <v>116.67</v>
      </c>
      <c r="G71" s="75">
        <f t="shared" si="45"/>
        <v>116.67</v>
      </c>
      <c r="H71" s="75">
        <f t="shared" si="45"/>
        <v>116.67</v>
      </c>
      <c r="I71" s="75">
        <f t="shared" si="45"/>
        <v>116.67</v>
      </c>
      <c r="J71" s="75">
        <f t="shared" si="45"/>
        <v>816.67</v>
      </c>
      <c r="K71" s="75">
        <f t="shared" si="45"/>
        <v>116.67</v>
      </c>
      <c r="L71" s="75">
        <f t="shared" si="45"/>
        <v>116.67</v>
      </c>
      <c r="M71" s="75">
        <f t="shared" si="45"/>
        <v>116.67</v>
      </c>
      <c r="N71" s="75">
        <f t="shared" si="45"/>
        <v>116.67</v>
      </c>
      <c r="O71" s="75">
        <f t="shared" si="45"/>
        <v>1266.67</v>
      </c>
      <c r="P71" s="75">
        <f t="shared" si="45"/>
        <v>266.67</v>
      </c>
      <c r="Q71" s="75">
        <f t="shared" si="45"/>
        <v>116.67</v>
      </c>
      <c r="R71" s="75">
        <f>SUM(R66:R70)</f>
        <v>3400</v>
      </c>
      <c r="S71" s="145">
        <f t="shared" ref="S71:AD71" si="46">SUM(S66:S70)</f>
        <v>116.67</v>
      </c>
      <c r="T71" s="145">
        <f t="shared" si="46"/>
        <v>233.34</v>
      </c>
      <c r="U71" s="145">
        <f t="shared" si="46"/>
        <v>350.01</v>
      </c>
      <c r="V71" s="145">
        <f t="shared" si="46"/>
        <v>466.68</v>
      </c>
      <c r="W71" s="145">
        <f t="shared" si="46"/>
        <v>1283.3499999999999</v>
      </c>
      <c r="X71" s="145">
        <f t="shared" si="46"/>
        <v>1400.02</v>
      </c>
      <c r="Y71" s="145">
        <f t="shared" si="46"/>
        <v>1516.69</v>
      </c>
      <c r="Z71" s="145">
        <f t="shared" si="46"/>
        <v>1633.3600000000001</v>
      </c>
      <c r="AA71" s="145">
        <f t="shared" si="46"/>
        <v>1750.03</v>
      </c>
      <c r="AB71" s="145">
        <f t="shared" si="46"/>
        <v>3016.7</v>
      </c>
      <c r="AC71" s="145">
        <f t="shared" si="46"/>
        <v>3283.37</v>
      </c>
      <c r="AD71" s="145">
        <f t="shared" si="46"/>
        <v>3400.04</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7">+E$16</f>
        <v>12</v>
      </c>
      <c r="F74" s="79">
        <f t="shared" ref="F74:Q76" si="48">ROUND(+$R74/$E74,2)</f>
        <v>458.33</v>
      </c>
      <c r="G74" s="79">
        <f t="shared" si="48"/>
        <v>458.33</v>
      </c>
      <c r="H74" s="79">
        <f t="shared" si="48"/>
        <v>458.33</v>
      </c>
      <c r="I74" s="79">
        <f t="shared" si="48"/>
        <v>458.33</v>
      </c>
      <c r="J74" s="79">
        <f t="shared" si="48"/>
        <v>458.33</v>
      </c>
      <c r="K74" s="79">
        <f t="shared" si="48"/>
        <v>458.33</v>
      </c>
      <c r="L74" s="79">
        <f t="shared" si="48"/>
        <v>458.33</v>
      </c>
      <c r="M74" s="79">
        <f t="shared" si="48"/>
        <v>458.33</v>
      </c>
      <c r="N74" s="79">
        <f t="shared" si="48"/>
        <v>458.33</v>
      </c>
      <c r="O74" s="79">
        <f t="shared" si="48"/>
        <v>458.33</v>
      </c>
      <c r="P74" s="79">
        <f t="shared" si="48"/>
        <v>458.33</v>
      </c>
      <c r="Q74" s="79">
        <f t="shared" si="48"/>
        <v>458.33</v>
      </c>
      <c r="R74" s="71">
        <v>5500</v>
      </c>
      <c r="S74" s="139">
        <f t="shared" ref="S74:S80" si="49">SUM(F74)</f>
        <v>458.33</v>
      </c>
      <c r="T74" s="139">
        <f>SUM($F74:G74)</f>
        <v>916.66</v>
      </c>
      <c r="U74" s="139">
        <f>SUM($F74:H74)</f>
        <v>1374.99</v>
      </c>
      <c r="V74" s="139">
        <f>SUM($F74:I74)</f>
        <v>1833.32</v>
      </c>
      <c r="W74" s="139">
        <f>SUM($F74:J74)</f>
        <v>2291.65</v>
      </c>
      <c r="X74" s="139">
        <f>SUM($F74:K74)</f>
        <v>2749.98</v>
      </c>
      <c r="Y74" s="139">
        <f>SUM($F74:L74)</f>
        <v>3208.31</v>
      </c>
      <c r="Z74" s="139">
        <f>SUM($F74:M74)</f>
        <v>3666.64</v>
      </c>
      <c r="AA74" s="139">
        <f>SUM($F74:N74)</f>
        <v>4124.97</v>
      </c>
      <c r="AB74" s="139">
        <f>SUM($F74:O74)</f>
        <v>4583.3</v>
      </c>
      <c r="AC74" s="139">
        <f>SUM($F74:P74)</f>
        <v>5041.63</v>
      </c>
      <c r="AD74" s="139">
        <f>SUM($F74:Q74)</f>
        <v>5499.96</v>
      </c>
    </row>
    <row r="75" spans="1:30" x14ac:dyDescent="0.25">
      <c r="A75" s="106">
        <v>70</v>
      </c>
      <c r="C75" s="1" t="s">
        <v>46</v>
      </c>
      <c r="E75" s="101">
        <f t="shared" si="47"/>
        <v>12</v>
      </c>
      <c r="F75" s="79">
        <f t="shared" si="48"/>
        <v>416.67</v>
      </c>
      <c r="G75" s="79">
        <f t="shared" si="48"/>
        <v>416.67</v>
      </c>
      <c r="H75" s="79">
        <f t="shared" si="48"/>
        <v>416.67</v>
      </c>
      <c r="I75" s="79">
        <f t="shared" si="48"/>
        <v>416.67</v>
      </c>
      <c r="J75" s="79">
        <f t="shared" si="48"/>
        <v>416.67</v>
      </c>
      <c r="K75" s="79">
        <f t="shared" si="48"/>
        <v>416.67</v>
      </c>
      <c r="L75" s="79">
        <f t="shared" si="48"/>
        <v>416.67</v>
      </c>
      <c r="M75" s="79">
        <f t="shared" si="48"/>
        <v>416.67</v>
      </c>
      <c r="N75" s="79">
        <f t="shared" si="48"/>
        <v>416.67</v>
      </c>
      <c r="O75" s="79">
        <f t="shared" si="48"/>
        <v>416.67</v>
      </c>
      <c r="P75" s="79">
        <f t="shared" si="48"/>
        <v>416.67</v>
      </c>
      <c r="Q75" s="79">
        <f t="shared" si="48"/>
        <v>416.67</v>
      </c>
      <c r="R75" s="71">
        <v>5000</v>
      </c>
      <c r="S75" s="139">
        <f t="shared" si="49"/>
        <v>416.67</v>
      </c>
      <c r="T75" s="139">
        <f>SUM($F75:G75)</f>
        <v>833.34</v>
      </c>
      <c r="U75" s="139">
        <f>SUM($F75:H75)</f>
        <v>1250.01</v>
      </c>
      <c r="V75" s="139">
        <f>SUM($F75:I75)</f>
        <v>1666.68</v>
      </c>
      <c r="W75" s="139">
        <f>SUM($F75:J75)</f>
        <v>2083.35</v>
      </c>
      <c r="X75" s="139">
        <f>SUM($F75:K75)</f>
        <v>2500.02</v>
      </c>
      <c r="Y75" s="139">
        <f>SUM($F75:L75)</f>
        <v>2916.69</v>
      </c>
      <c r="Z75" s="139">
        <f>SUM($F75:M75)</f>
        <v>3333.36</v>
      </c>
      <c r="AA75" s="139">
        <f>SUM($F75:N75)</f>
        <v>3750.03</v>
      </c>
      <c r="AB75" s="139">
        <f>SUM($F75:O75)</f>
        <v>4166.7</v>
      </c>
      <c r="AC75" s="139">
        <f>SUM($F75:P75)</f>
        <v>4583.37</v>
      </c>
      <c r="AD75" s="139">
        <f>SUM($F75:Q75)</f>
        <v>5000.04</v>
      </c>
    </row>
    <row r="76" spans="1:30" x14ac:dyDescent="0.25">
      <c r="A76" s="106">
        <v>71</v>
      </c>
      <c r="C76" s="1" t="s">
        <v>145</v>
      </c>
      <c r="E76" s="101">
        <f t="shared" si="47"/>
        <v>12</v>
      </c>
      <c r="F76" s="79">
        <f t="shared" si="48"/>
        <v>41.67</v>
      </c>
      <c r="G76" s="79">
        <f t="shared" si="48"/>
        <v>41.67</v>
      </c>
      <c r="H76" s="79">
        <f t="shared" si="48"/>
        <v>41.67</v>
      </c>
      <c r="I76" s="79">
        <f t="shared" si="48"/>
        <v>41.67</v>
      </c>
      <c r="J76" s="79">
        <f t="shared" si="48"/>
        <v>41.67</v>
      </c>
      <c r="K76" s="79">
        <f t="shared" si="48"/>
        <v>41.67</v>
      </c>
      <c r="L76" s="79">
        <f t="shared" si="48"/>
        <v>41.67</v>
      </c>
      <c r="M76" s="79">
        <f t="shared" si="48"/>
        <v>41.67</v>
      </c>
      <c r="N76" s="79">
        <f t="shared" si="48"/>
        <v>41.67</v>
      </c>
      <c r="O76" s="79">
        <f t="shared" si="48"/>
        <v>41.67</v>
      </c>
      <c r="P76" s="79">
        <f t="shared" si="48"/>
        <v>41.67</v>
      </c>
      <c r="Q76" s="79">
        <f t="shared" si="48"/>
        <v>41.67</v>
      </c>
      <c r="R76" s="71">
        <v>500</v>
      </c>
      <c r="S76" s="139">
        <f t="shared" si="49"/>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0</v>
      </c>
      <c r="H77" s="71">
        <v>0</v>
      </c>
      <c r="I77" s="71">
        <v>0</v>
      </c>
      <c r="J77" s="71">
        <v>0</v>
      </c>
      <c r="K77" s="71">
        <v>0</v>
      </c>
      <c r="L77" s="71">
        <v>0</v>
      </c>
      <c r="M77" s="71">
        <v>0</v>
      </c>
      <c r="N77" s="71">
        <v>0</v>
      </c>
      <c r="O77" s="71">
        <v>0</v>
      </c>
      <c r="P77" s="71">
        <v>0</v>
      </c>
      <c r="Q77" s="71">
        <v>0</v>
      </c>
      <c r="R77" s="79">
        <f>SUM(F77:Q77)</f>
        <v>0</v>
      </c>
      <c r="S77" s="139">
        <f t="shared" si="49"/>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50">+E$16</f>
        <v>12</v>
      </c>
      <c r="F78" s="79">
        <f t="shared" ref="F78:Q80" si="51">ROUND(+$R78/$E78,2)</f>
        <v>1416.67</v>
      </c>
      <c r="G78" s="79">
        <f t="shared" si="51"/>
        <v>1416.67</v>
      </c>
      <c r="H78" s="79">
        <f t="shared" si="51"/>
        <v>1416.67</v>
      </c>
      <c r="I78" s="79">
        <f t="shared" si="51"/>
        <v>1416.67</v>
      </c>
      <c r="J78" s="79">
        <f t="shared" si="51"/>
        <v>1416.67</v>
      </c>
      <c r="K78" s="79">
        <f t="shared" si="51"/>
        <v>1416.67</v>
      </c>
      <c r="L78" s="79">
        <f t="shared" si="51"/>
        <v>1416.67</v>
      </c>
      <c r="M78" s="79">
        <f t="shared" si="51"/>
        <v>1416.67</v>
      </c>
      <c r="N78" s="79">
        <f t="shared" si="51"/>
        <v>1416.67</v>
      </c>
      <c r="O78" s="79">
        <f t="shared" si="51"/>
        <v>1416.67</v>
      </c>
      <c r="P78" s="79">
        <f t="shared" si="51"/>
        <v>1416.67</v>
      </c>
      <c r="Q78" s="79">
        <f t="shared" si="51"/>
        <v>1416.67</v>
      </c>
      <c r="R78" s="71">
        <v>17000</v>
      </c>
      <c r="S78" s="139">
        <f t="shared" si="49"/>
        <v>1416.67</v>
      </c>
      <c r="T78" s="139">
        <f>SUM($F78:G78)</f>
        <v>2833.34</v>
      </c>
      <c r="U78" s="139">
        <f>SUM($F78:H78)</f>
        <v>4250.01</v>
      </c>
      <c r="V78" s="139">
        <f>SUM($F78:I78)</f>
        <v>5666.68</v>
      </c>
      <c r="W78" s="139">
        <f>SUM($F78:J78)</f>
        <v>7083.35</v>
      </c>
      <c r="X78" s="139">
        <f>SUM($F78:K78)</f>
        <v>8500.02</v>
      </c>
      <c r="Y78" s="139">
        <f>SUM($F78:L78)</f>
        <v>9916.69</v>
      </c>
      <c r="Z78" s="139">
        <f>SUM($F78:M78)</f>
        <v>11333.36</v>
      </c>
      <c r="AA78" s="139">
        <f>SUM($F78:N78)</f>
        <v>12750.03</v>
      </c>
      <c r="AB78" s="139">
        <f>SUM($F78:O78)</f>
        <v>14166.7</v>
      </c>
      <c r="AC78" s="139">
        <f>SUM($F78:P78)</f>
        <v>15583.37</v>
      </c>
      <c r="AD78" s="139">
        <f>SUM($F78:Q78)</f>
        <v>17000.04</v>
      </c>
    </row>
    <row r="79" spans="1:30" x14ac:dyDescent="0.25">
      <c r="A79" s="106">
        <v>74</v>
      </c>
      <c r="C79" s="1" t="s">
        <v>49</v>
      </c>
      <c r="E79" s="101">
        <f t="shared" si="50"/>
        <v>12</v>
      </c>
      <c r="F79" s="79">
        <f t="shared" si="51"/>
        <v>68.75</v>
      </c>
      <c r="G79" s="79">
        <f t="shared" si="51"/>
        <v>68.75</v>
      </c>
      <c r="H79" s="79">
        <f t="shared" si="51"/>
        <v>68.75</v>
      </c>
      <c r="I79" s="79">
        <f t="shared" si="51"/>
        <v>68.75</v>
      </c>
      <c r="J79" s="79">
        <f t="shared" si="51"/>
        <v>68.75</v>
      </c>
      <c r="K79" s="79">
        <f t="shared" si="51"/>
        <v>68.75</v>
      </c>
      <c r="L79" s="79">
        <f t="shared" si="51"/>
        <v>68.75</v>
      </c>
      <c r="M79" s="79">
        <f t="shared" si="51"/>
        <v>68.75</v>
      </c>
      <c r="N79" s="79">
        <f t="shared" si="51"/>
        <v>68.75</v>
      </c>
      <c r="O79" s="79">
        <f t="shared" si="51"/>
        <v>68.75</v>
      </c>
      <c r="P79" s="79">
        <f t="shared" si="51"/>
        <v>68.75</v>
      </c>
      <c r="Q79" s="79">
        <f t="shared" si="51"/>
        <v>68.75</v>
      </c>
      <c r="R79" s="71">
        <v>825</v>
      </c>
      <c r="S79" s="139">
        <f t="shared" si="49"/>
        <v>68.75</v>
      </c>
      <c r="T79" s="139">
        <f>SUM($F79:G79)</f>
        <v>137.5</v>
      </c>
      <c r="U79" s="139">
        <f>SUM($F79:H79)</f>
        <v>206.25</v>
      </c>
      <c r="V79" s="139">
        <f>SUM($F79:I79)</f>
        <v>275</v>
      </c>
      <c r="W79" s="139">
        <f>SUM($F79:J79)</f>
        <v>343.75</v>
      </c>
      <c r="X79" s="139">
        <f>SUM($F79:K79)</f>
        <v>412.5</v>
      </c>
      <c r="Y79" s="139">
        <f>SUM($F79:L79)</f>
        <v>481.25</v>
      </c>
      <c r="Z79" s="139">
        <f>SUM($F79:M79)</f>
        <v>550</v>
      </c>
      <c r="AA79" s="139">
        <f>SUM($F79:N79)</f>
        <v>618.75</v>
      </c>
      <c r="AB79" s="139">
        <f>SUM($F79:O79)</f>
        <v>687.5</v>
      </c>
      <c r="AC79" s="139">
        <f>SUM($F79:P79)</f>
        <v>756.25</v>
      </c>
      <c r="AD79" s="139">
        <f>SUM($F79:Q79)</f>
        <v>825</v>
      </c>
    </row>
    <row r="80" spans="1:30" x14ac:dyDescent="0.25">
      <c r="A80" s="106">
        <v>75</v>
      </c>
      <c r="C80" s="1" t="s">
        <v>50</v>
      </c>
      <c r="E80" s="101">
        <f t="shared" si="50"/>
        <v>12</v>
      </c>
      <c r="F80" s="79">
        <f t="shared" si="51"/>
        <v>125</v>
      </c>
      <c r="G80" s="79">
        <f t="shared" si="51"/>
        <v>125</v>
      </c>
      <c r="H80" s="79">
        <f t="shared" si="51"/>
        <v>125</v>
      </c>
      <c r="I80" s="79">
        <f t="shared" si="51"/>
        <v>125</v>
      </c>
      <c r="J80" s="79">
        <f t="shared" si="51"/>
        <v>125</v>
      </c>
      <c r="K80" s="79">
        <f t="shared" si="51"/>
        <v>125</v>
      </c>
      <c r="L80" s="79">
        <f t="shared" si="51"/>
        <v>125</v>
      </c>
      <c r="M80" s="79">
        <f t="shared" si="51"/>
        <v>125</v>
      </c>
      <c r="N80" s="79">
        <f t="shared" si="51"/>
        <v>125</v>
      </c>
      <c r="O80" s="79">
        <f t="shared" si="51"/>
        <v>125</v>
      </c>
      <c r="P80" s="79">
        <f t="shared" si="51"/>
        <v>125</v>
      </c>
      <c r="Q80" s="79">
        <f t="shared" si="51"/>
        <v>125</v>
      </c>
      <c r="R80" s="71">
        <v>1500</v>
      </c>
      <c r="S80" s="139">
        <f t="shared" si="49"/>
        <v>125</v>
      </c>
      <c r="T80" s="139">
        <f>SUM($F80:G80)</f>
        <v>250</v>
      </c>
      <c r="U80" s="139">
        <f>SUM($F80:H80)</f>
        <v>375</v>
      </c>
      <c r="V80" s="139">
        <f>SUM($F80:I80)</f>
        <v>500</v>
      </c>
      <c r="W80" s="139">
        <f>SUM($F80:J80)</f>
        <v>625</v>
      </c>
      <c r="X80" s="139">
        <f>SUM($F80:K80)</f>
        <v>750</v>
      </c>
      <c r="Y80" s="139">
        <f>SUM($F80:L80)</f>
        <v>875</v>
      </c>
      <c r="Z80" s="139">
        <f>SUM($F80:M80)</f>
        <v>1000</v>
      </c>
      <c r="AA80" s="139">
        <f>SUM($F80:N80)</f>
        <v>1125</v>
      </c>
      <c r="AB80" s="139">
        <f>SUM($F80:O80)</f>
        <v>1250</v>
      </c>
      <c r="AC80" s="139">
        <f>SUM($F80:P80)</f>
        <v>1375</v>
      </c>
      <c r="AD80" s="139">
        <f>SUM($F80:Q80)</f>
        <v>1500</v>
      </c>
    </row>
    <row r="81" spans="1:30" s="5" customFormat="1" x14ac:dyDescent="0.25">
      <c r="A81" s="106">
        <v>76</v>
      </c>
      <c r="B81" s="51" t="s">
        <v>53</v>
      </c>
      <c r="C81" s="51"/>
      <c r="D81" s="51"/>
      <c r="E81" s="93"/>
      <c r="F81" s="75">
        <f t="shared" ref="F81:Q81" si="52">SUM(F74:F80)</f>
        <v>2527.09</v>
      </c>
      <c r="G81" s="75">
        <f t="shared" si="52"/>
        <v>2527.09</v>
      </c>
      <c r="H81" s="75">
        <f t="shared" si="52"/>
        <v>2527.09</v>
      </c>
      <c r="I81" s="75">
        <f t="shared" si="52"/>
        <v>2527.09</v>
      </c>
      <c r="J81" s="75">
        <f t="shared" si="52"/>
        <v>2527.09</v>
      </c>
      <c r="K81" s="75">
        <f t="shared" si="52"/>
        <v>2527.09</v>
      </c>
      <c r="L81" s="75">
        <f t="shared" si="52"/>
        <v>2527.09</v>
      </c>
      <c r="M81" s="75">
        <f t="shared" si="52"/>
        <v>2527.09</v>
      </c>
      <c r="N81" s="75">
        <f t="shared" si="52"/>
        <v>2527.09</v>
      </c>
      <c r="O81" s="75">
        <f t="shared" si="52"/>
        <v>2527.09</v>
      </c>
      <c r="P81" s="75">
        <f t="shared" si="52"/>
        <v>2527.09</v>
      </c>
      <c r="Q81" s="75">
        <f t="shared" si="52"/>
        <v>2527.09</v>
      </c>
      <c r="R81" s="75">
        <f>SUM(R74:R80)</f>
        <v>30325</v>
      </c>
      <c r="S81" s="145">
        <f t="shared" ref="S81:AD81" si="53">SUM(S74:S80)</f>
        <v>2527.09</v>
      </c>
      <c r="T81" s="145">
        <f t="shared" si="53"/>
        <v>5054.18</v>
      </c>
      <c r="U81" s="145">
        <f t="shared" si="53"/>
        <v>7581.27</v>
      </c>
      <c r="V81" s="145">
        <f t="shared" si="53"/>
        <v>10108.36</v>
      </c>
      <c r="W81" s="145">
        <f t="shared" si="53"/>
        <v>12635.45</v>
      </c>
      <c r="X81" s="145">
        <f t="shared" si="53"/>
        <v>15162.54</v>
      </c>
      <c r="Y81" s="145">
        <f t="shared" si="53"/>
        <v>17689.63</v>
      </c>
      <c r="Z81" s="145">
        <f t="shared" si="53"/>
        <v>20216.72</v>
      </c>
      <c r="AA81" s="145">
        <f t="shared" si="53"/>
        <v>22743.81</v>
      </c>
      <c r="AB81" s="145">
        <f t="shared" si="53"/>
        <v>25270.9</v>
      </c>
      <c r="AC81" s="145">
        <f t="shared" si="53"/>
        <v>27797.99</v>
      </c>
      <c r="AD81" s="145">
        <f t="shared" si="53"/>
        <v>30325.08</v>
      </c>
    </row>
    <row r="82" spans="1:30" x14ac:dyDescent="0.25">
      <c r="A82" s="106">
        <v>77</v>
      </c>
      <c r="B82" s="51" t="s">
        <v>126</v>
      </c>
      <c r="C82" s="32"/>
      <c r="D82" s="32"/>
      <c r="E82" s="95"/>
      <c r="F82" s="75">
        <f t="shared" ref="F82:Q82" si="54">+F41+F43+F50+F56+F63+F71+F81+F61</f>
        <v>4502.09</v>
      </c>
      <c r="G82" s="75">
        <f t="shared" si="54"/>
        <v>4502.09</v>
      </c>
      <c r="H82" s="75">
        <f t="shared" si="54"/>
        <v>4568.75</v>
      </c>
      <c r="I82" s="75">
        <f t="shared" si="54"/>
        <v>4568.76</v>
      </c>
      <c r="J82" s="75">
        <f t="shared" si="54"/>
        <v>5268.76</v>
      </c>
      <c r="K82" s="75">
        <f t="shared" si="54"/>
        <v>4502.09</v>
      </c>
      <c r="L82" s="75">
        <f t="shared" si="54"/>
        <v>4502.09</v>
      </c>
      <c r="M82" s="75">
        <f t="shared" si="54"/>
        <v>5252.09</v>
      </c>
      <c r="N82" s="75">
        <f t="shared" si="54"/>
        <v>4289.09</v>
      </c>
      <c r="O82" s="75">
        <f t="shared" si="54"/>
        <v>5652.09</v>
      </c>
      <c r="P82" s="75">
        <f t="shared" si="54"/>
        <v>4652.09</v>
      </c>
      <c r="Q82" s="75">
        <f t="shared" si="54"/>
        <v>4715.05</v>
      </c>
      <c r="R82" s="75">
        <f>+R41+R43+R50+R56+R63+R71+R81+R61</f>
        <v>56975</v>
      </c>
      <c r="S82" s="145">
        <f t="shared" ref="S82:AD82" si="55">+S41+S43+S50+S56+S63+S71+S81+S61</f>
        <v>4502.09</v>
      </c>
      <c r="T82" s="145">
        <f t="shared" si="55"/>
        <v>9004.18</v>
      </c>
      <c r="U82" s="145">
        <f t="shared" si="55"/>
        <v>13572.93</v>
      </c>
      <c r="V82" s="145">
        <f t="shared" si="55"/>
        <v>18141.690000000002</v>
      </c>
      <c r="W82" s="145">
        <f t="shared" si="55"/>
        <v>23410.450000000004</v>
      </c>
      <c r="X82" s="145">
        <f t="shared" si="55"/>
        <v>27912.54</v>
      </c>
      <c r="Y82" s="145">
        <f t="shared" si="55"/>
        <v>32414.63</v>
      </c>
      <c r="Z82" s="145">
        <f t="shared" si="55"/>
        <v>37666.720000000001</v>
      </c>
      <c r="AA82" s="145">
        <f t="shared" si="55"/>
        <v>41955.81</v>
      </c>
      <c r="AB82" s="145">
        <f t="shared" si="55"/>
        <v>47607.900000000009</v>
      </c>
      <c r="AC82" s="145">
        <f t="shared" si="55"/>
        <v>52259.99</v>
      </c>
      <c r="AD82" s="145">
        <f t="shared" si="55"/>
        <v>56975.040000000001</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6">+E$16</f>
        <v>12</v>
      </c>
      <c r="F86" s="79">
        <f t="shared" ref="F86:Q90" si="57">ROUND(+$R86/$E86,2)</f>
        <v>7552.58</v>
      </c>
      <c r="G86" s="79">
        <f t="shared" si="57"/>
        <v>7552.58</v>
      </c>
      <c r="H86" s="79">
        <f t="shared" si="57"/>
        <v>7552.58</v>
      </c>
      <c r="I86" s="79">
        <f t="shared" si="57"/>
        <v>7552.58</v>
      </c>
      <c r="J86" s="79">
        <f t="shared" si="57"/>
        <v>7552.58</v>
      </c>
      <c r="K86" s="79">
        <f t="shared" si="57"/>
        <v>7552.58</v>
      </c>
      <c r="L86" s="79">
        <f t="shared" si="57"/>
        <v>7552.58</v>
      </c>
      <c r="M86" s="79">
        <f t="shared" si="57"/>
        <v>7552.58</v>
      </c>
      <c r="N86" s="79">
        <f t="shared" si="57"/>
        <v>7552.58</v>
      </c>
      <c r="O86" s="79">
        <f t="shared" si="57"/>
        <v>7552.58</v>
      </c>
      <c r="P86" s="79">
        <f t="shared" si="57"/>
        <v>7552.58</v>
      </c>
      <c r="Q86" s="79">
        <f t="shared" si="57"/>
        <v>7552.58</v>
      </c>
      <c r="R86" s="71">
        <v>90631</v>
      </c>
      <c r="S86" s="139">
        <f t="shared" ref="S86:S90" si="58">SUM(F86)</f>
        <v>7552.58</v>
      </c>
      <c r="T86" s="139">
        <f>SUM($F86:G86)</f>
        <v>15105.16</v>
      </c>
      <c r="U86" s="139">
        <f>SUM($F86:H86)</f>
        <v>22657.739999999998</v>
      </c>
      <c r="V86" s="139">
        <f>SUM($F86:I86)</f>
        <v>30210.32</v>
      </c>
      <c r="W86" s="139">
        <f>SUM($F86:J86)</f>
        <v>37762.9</v>
      </c>
      <c r="X86" s="139">
        <f>SUM($F86:K86)</f>
        <v>45315.48</v>
      </c>
      <c r="Y86" s="139">
        <f>SUM($F86:L86)</f>
        <v>52868.060000000005</v>
      </c>
      <c r="Z86" s="139">
        <f>SUM($F86:M86)</f>
        <v>60420.640000000007</v>
      </c>
      <c r="AA86" s="139">
        <f>SUM($F86:N86)</f>
        <v>67973.22</v>
      </c>
      <c r="AB86" s="139">
        <f>SUM($F86:O86)</f>
        <v>75525.8</v>
      </c>
      <c r="AC86" s="139">
        <f>SUM($F86:P86)</f>
        <v>83078.38</v>
      </c>
      <c r="AD86" s="139">
        <f>SUM($F86:Q86)</f>
        <v>90630.96</v>
      </c>
    </row>
    <row r="87" spans="1:30" x14ac:dyDescent="0.25">
      <c r="A87" s="106">
        <v>82</v>
      </c>
      <c r="C87" s="1" t="s">
        <v>55</v>
      </c>
      <c r="E87" s="101">
        <f t="shared" si="56"/>
        <v>12</v>
      </c>
      <c r="F87" s="79">
        <f t="shared" si="57"/>
        <v>250</v>
      </c>
      <c r="G87" s="79">
        <f t="shared" si="57"/>
        <v>250</v>
      </c>
      <c r="H87" s="79">
        <f t="shared" si="57"/>
        <v>250</v>
      </c>
      <c r="I87" s="79">
        <f t="shared" si="57"/>
        <v>250</v>
      </c>
      <c r="J87" s="79">
        <f t="shared" si="57"/>
        <v>250</v>
      </c>
      <c r="K87" s="79">
        <f t="shared" si="57"/>
        <v>250</v>
      </c>
      <c r="L87" s="79">
        <f t="shared" si="57"/>
        <v>250</v>
      </c>
      <c r="M87" s="79">
        <f t="shared" si="57"/>
        <v>250</v>
      </c>
      <c r="N87" s="79">
        <f t="shared" si="57"/>
        <v>250</v>
      </c>
      <c r="O87" s="79">
        <f t="shared" si="57"/>
        <v>250</v>
      </c>
      <c r="P87" s="79">
        <f t="shared" si="57"/>
        <v>250</v>
      </c>
      <c r="Q87" s="79">
        <f t="shared" si="57"/>
        <v>250</v>
      </c>
      <c r="R87" s="71">
        <v>3000</v>
      </c>
      <c r="S87" s="139">
        <f t="shared" si="58"/>
        <v>250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3000</v>
      </c>
    </row>
    <row r="88" spans="1:30" x14ac:dyDescent="0.25">
      <c r="A88" s="106">
        <v>83</v>
      </c>
      <c r="C88" s="1" t="s">
        <v>56</v>
      </c>
      <c r="E88" s="101">
        <f t="shared" si="56"/>
        <v>12</v>
      </c>
      <c r="F88" s="79">
        <f t="shared" si="57"/>
        <v>2836.17</v>
      </c>
      <c r="G88" s="79">
        <f t="shared" si="57"/>
        <v>2836.17</v>
      </c>
      <c r="H88" s="79">
        <f t="shared" si="57"/>
        <v>2836.17</v>
      </c>
      <c r="I88" s="79">
        <f t="shared" si="57"/>
        <v>2836.17</v>
      </c>
      <c r="J88" s="79">
        <f t="shared" si="57"/>
        <v>2836.17</v>
      </c>
      <c r="K88" s="79">
        <f t="shared" si="57"/>
        <v>2836.17</v>
      </c>
      <c r="L88" s="79">
        <f t="shared" si="57"/>
        <v>2836.17</v>
      </c>
      <c r="M88" s="79">
        <f t="shared" si="57"/>
        <v>2836.17</v>
      </c>
      <c r="N88" s="79">
        <f t="shared" si="57"/>
        <v>2836.17</v>
      </c>
      <c r="O88" s="79">
        <f t="shared" si="57"/>
        <v>2836.17</v>
      </c>
      <c r="P88" s="79">
        <f t="shared" si="57"/>
        <v>2836.17</v>
      </c>
      <c r="Q88" s="79">
        <f t="shared" si="57"/>
        <v>2836.17</v>
      </c>
      <c r="R88" s="71">
        <v>34034</v>
      </c>
      <c r="S88" s="139">
        <f t="shared" si="58"/>
        <v>2836.17</v>
      </c>
      <c r="T88" s="139">
        <f>SUM($F88:G88)</f>
        <v>5672.34</v>
      </c>
      <c r="U88" s="139">
        <f>SUM($F88:H88)</f>
        <v>8508.51</v>
      </c>
      <c r="V88" s="139">
        <f>SUM($F88:I88)</f>
        <v>11344.68</v>
      </c>
      <c r="W88" s="139">
        <f>SUM($F88:J88)</f>
        <v>14180.85</v>
      </c>
      <c r="X88" s="139">
        <f>SUM($F88:K88)</f>
        <v>17017.02</v>
      </c>
      <c r="Y88" s="139">
        <f>SUM($F88:L88)</f>
        <v>19853.190000000002</v>
      </c>
      <c r="Z88" s="139">
        <f>SUM($F88:M88)</f>
        <v>22689.360000000001</v>
      </c>
      <c r="AA88" s="139">
        <f>SUM($F88:N88)</f>
        <v>25525.53</v>
      </c>
      <c r="AB88" s="139">
        <f>SUM($F88:O88)</f>
        <v>28361.699999999997</v>
      </c>
      <c r="AC88" s="139">
        <f>SUM($F88:P88)</f>
        <v>31197.869999999995</v>
      </c>
      <c r="AD88" s="139">
        <f>SUM($F88:Q88)</f>
        <v>34034.039999999994</v>
      </c>
    </row>
    <row r="89" spans="1:30" x14ac:dyDescent="0.25">
      <c r="A89" s="106">
        <v>84</v>
      </c>
      <c r="C89" s="1" t="s">
        <v>57</v>
      </c>
      <c r="E89" s="101">
        <f t="shared" si="56"/>
        <v>12</v>
      </c>
      <c r="F89" s="79">
        <f t="shared" si="57"/>
        <v>333.33</v>
      </c>
      <c r="G89" s="79">
        <f t="shared" si="57"/>
        <v>333.33</v>
      </c>
      <c r="H89" s="79">
        <f t="shared" si="57"/>
        <v>333.33</v>
      </c>
      <c r="I89" s="79">
        <f t="shared" si="57"/>
        <v>333.33</v>
      </c>
      <c r="J89" s="79">
        <f t="shared" si="57"/>
        <v>333.33</v>
      </c>
      <c r="K89" s="79">
        <f t="shared" si="57"/>
        <v>333.33</v>
      </c>
      <c r="L89" s="79">
        <f t="shared" si="57"/>
        <v>333.33</v>
      </c>
      <c r="M89" s="79">
        <f t="shared" si="57"/>
        <v>333.33</v>
      </c>
      <c r="N89" s="79">
        <f t="shared" si="57"/>
        <v>333.33</v>
      </c>
      <c r="O89" s="79">
        <f t="shared" si="57"/>
        <v>333.33</v>
      </c>
      <c r="P89" s="79">
        <f t="shared" si="57"/>
        <v>333.33</v>
      </c>
      <c r="Q89" s="79">
        <f t="shared" si="57"/>
        <v>333.33</v>
      </c>
      <c r="R89" s="71">
        <v>4000</v>
      </c>
      <c r="S89" s="139">
        <f t="shared" si="5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56"/>
        <v>12</v>
      </c>
      <c r="F90" s="79">
        <f t="shared" si="57"/>
        <v>250</v>
      </c>
      <c r="G90" s="79">
        <f t="shared" si="57"/>
        <v>250</v>
      </c>
      <c r="H90" s="79">
        <f t="shared" si="57"/>
        <v>250</v>
      </c>
      <c r="I90" s="79">
        <f t="shared" si="57"/>
        <v>250</v>
      </c>
      <c r="J90" s="79">
        <f t="shared" si="57"/>
        <v>250</v>
      </c>
      <c r="K90" s="79">
        <f t="shared" si="57"/>
        <v>250</v>
      </c>
      <c r="L90" s="79">
        <f t="shared" si="57"/>
        <v>250</v>
      </c>
      <c r="M90" s="79">
        <f t="shared" si="57"/>
        <v>250</v>
      </c>
      <c r="N90" s="79">
        <f t="shared" si="57"/>
        <v>250</v>
      </c>
      <c r="O90" s="79">
        <f t="shared" si="57"/>
        <v>250</v>
      </c>
      <c r="P90" s="79">
        <f t="shared" si="57"/>
        <v>250</v>
      </c>
      <c r="Q90" s="79">
        <f t="shared" si="57"/>
        <v>250</v>
      </c>
      <c r="R90" s="71">
        <v>3000</v>
      </c>
      <c r="S90" s="139">
        <f t="shared" si="5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Q91" si="59">SUM(F86:F90)</f>
        <v>11222.08</v>
      </c>
      <c r="G91" s="80">
        <f t="shared" si="59"/>
        <v>11222.08</v>
      </c>
      <c r="H91" s="80">
        <f t="shared" si="59"/>
        <v>11222.08</v>
      </c>
      <c r="I91" s="80">
        <f t="shared" si="59"/>
        <v>11222.08</v>
      </c>
      <c r="J91" s="80">
        <f t="shared" si="59"/>
        <v>11222.08</v>
      </c>
      <c r="K91" s="80">
        <f t="shared" si="59"/>
        <v>11222.08</v>
      </c>
      <c r="L91" s="80">
        <f t="shared" si="59"/>
        <v>11222.08</v>
      </c>
      <c r="M91" s="80">
        <f t="shared" si="59"/>
        <v>11222.08</v>
      </c>
      <c r="N91" s="80">
        <f t="shared" si="59"/>
        <v>11222.08</v>
      </c>
      <c r="O91" s="80">
        <f t="shared" si="59"/>
        <v>11222.08</v>
      </c>
      <c r="P91" s="80">
        <f t="shared" si="59"/>
        <v>11222.08</v>
      </c>
      <c r="Q91" s="80">
        <f t="shared" si="59"/>
        <v>11222.08</v>
      </c>
      <c r="R91" s="80">
        <f>SUM(R86:R90)</f>
        <v>134665</v>
      </c>
      <c r="S91" s="149">
        <f t="shared" ref="S91:AD91" si="60">SUM(S86:S90)</f>
        <v>11222.08</v>
      </c>
      <c r="T91" s="149">
        <f t="shared" si="60"/>
        <v>22444.16</v>
      </c>
      <c r="U91" s="149">
        <f t="shared" si="60"/>
        <v>33666.239999999998</v>
      </c>
      <c r="V91" s="149">
        <f t="shared" si="60"/>
        <v>44888.32</v>
      </c>
      <c r="W91" s="149">
        <f t="shared" si="60"/>
        <v>56110.400000000001</v>
      </c>
      <c r="X91" s="149">
        <f t="shared" si="60"/>
        <v>67332.479999999996</v>
      </c>
      <c r="Y91" s="149">
        <f t="shared" si="60"/>
        <v>78554.559999999998</v>
      </c>
      <c r="Z91" s="149">
        <f t="shared" si="60"/>
        <v>89776.639999999999</v>
      </c>
      <c r="AA91" s="149">
        <f t="shared" si="60"/>
        <v>100998.72</v>
      </c>
      <c r="AB91" s="149">
        <f t="shared" si="60"/>
        <v>112220.8</v>
      </c>
      <c r="AC91" s="149">
        <f t="shared" si="60"/>
        <v>123442.88</v>
      </c>
      <c r="AD91" s="149">
        <f t="shared" si="60"/>
        <v>134664.95999999999</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1">+E$16</f>
        <v>12</v>
      </c>
      <c r="F94" s="79">
        <f t="shared" ref="F94:Q95" si="62">ROUND(+$R94/$E94,2)</f>
        <v>958.92</v>
      </c>
      <c r="G94" s="79">
        <f t="shared" si="62"/>
        <v>958.92</v>
      </c>
      <c r="H94" s="79">
        <f t="shared" si="62"/>
        <v>958.92</v>
      </c>
      <c r="I94" s="79">
        <f t="shared" si="62"/>
        <v>958.92</v>
      </c>
      <c r="J94" s="79">
        <f t="shared" si="62"/>
        <v>958.92</v>
      </c>
      <c r="K94" s="79">
        <f t="shared" si="62"/>
        <v>958.92</v>
      </c>
      <c r="L94" s="79">
        <f t="shared" si="62"/>
        <v>958.92</v>
      </c>
      <c r="M94" s="79">
        <f t="shared" si="62"/>
        <v>958.92</v>
      </c>
      <c r="N94" s="79">
        <f t="shared" si="62"/>
        <v>958.92</v>
      </c>
      <c r="O94" s="79">
        <f t="shared" si="62"/>
        <v>958.92</v>
      </c>
      <c r="P94" s="79">
        <f t="shared" si="62"/>
        <v>958.92</v>
      </c>
      <c r="Q94" s="79">
        <f t="shared" si="62"/>
        <v>958.92</v>
      </c>
      <c r="R94" s="71">
        <v>11507</v>
      </c>
      <c r="S94" s="139">
        <f t="shared" ref="S94:S95" si="63">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61"/>
        <v>12</v>
      </c>
      <c r="F95" s="79">
        <f t="shared" si="62"/>
        <v>416.67</v>
      </c>
      <c r="G95" s="79">
        <f t="shared" si="62"/>
        <v>416.67</v>
      </c>
      <c r="H95" s="79">
        <f t="shared" si="62"/>
        <v>416.67</v>
      </c>
      <c r="I95" s="79">
        <f t="shared" si="62"/>
        <v>416.67</v>
      </c>
      <c r="J95" s="79">
        <f t="shared" si="62"/>
        <v>416.67</v>
      </c>
      <c r="K95" s="79">
        <f t="shared" si="62"/>
        <v>416.67</v>
      </c>
      <c r="L95" s="79">
        <f t="shared" si="62"/>
        <v>416.67</v>
      </c>
      <c r="M95" s="79">
        <f t="shared" si="62"/>
        <v>416.67</v>
      </c>
      <c r="N95" s="79">
        <f t="shared" si="62"/>
        <v>416.67</v>
      </c>
      <c r="O95" s="79">
        <f t="shared" si="62"/>
        <v>416.67</v>
      </c>
      <c r="P95" s="79">
        <f t="shared" si="62"/>
        <v>416.67</v>
      </c>
      <c r="Q95" s="79">
        <f t="shared" si="62"/>
        <v>416.67</v>
      </c>
      <c r="R95" s="71">
        <v>5000</v>
      </c>
      <c r="S95" s="139">
        <f t="shared" si="63"/>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4">SUM(F94:F95)</f>
        <v>1375.59</v>
      </c>
      <c r="G96" s="80">
        <f t="shared" si="64"/>
        <v>1375.59</v>
      </c>
      <c r="H96" s="80">
        <f t="shared" si="64"/>
        <v>1375.59</v>
      </c>
      <c r="I96" s="80">
        <f t="shared" si="64"/>
        <v>1375.59</v>
      </c>
      <c r="J96" s="80">
        <f t="shared" si="64"/>
        <v>1375.59</v>
      </c>
      <c r="K96" s="80">
        <f t="shared" si="64"/>
        <v>1375.59</v>
      </c>
      <c r="L96" s="80">
        <f t="shared" si="64"/>
        <v>1375.59</v>
      </c>
      <c r="M96" s="80">
        <f t="shared" si="64"/>
        <v>1375.59</v>
      </c>
      <c r="N96" s="80">
        <f t="shared" si="64"/>
        <v>1375.59</v>
      </c>
      <c r="O96" s="80">
        <f t="shared" si="64"/>
        <v>1375.59</v>
      </c>
      <c r="P96" s="80">
        <f t="shared" si="64"/>
        <v>1375.59</v>
      </c>
      <c r="Q96" s="80">
        <f t="shared" si="64"/>
        <v>1375.59</v>
      </c>
      <c r="R96" s="80">
        <f>SUM(R94:R95)</f>
        <v>16507</v>
      </c>
      <c r="S96" s="149">
        <f t="shared" ref="S96:AD96" si="65">SUM(S94:S95)</f>
        <v>1375.59</v>
      </c>
      <c r="T96" s="149">
        <f t="shared" si="65"/>
        <v>2751.18</v>
      </c>
      <c r="U96" s="149">
        <f t="shared" si="65"/>
        <v>4126.7699999999995</v>
      </c>
      <c r="V96" s="149">
        <f t="shared" si="65"/>
        <v>5502.36</v>
      </c>
      <c r="W96" s="149">
        <f t="shared" si="65"/>
        <v>6877.9499999999989</v>
      </c>
      <c r="X96" s="149">
        <f t="shared" si="65"/>
        <v>8253.5399999999991</v>
      </c>
      <c r="Y96" s="149">
        <f t="shared" si="65"/>
        <v>9629.1299999999992</v>
      </c>
      <c r="Z96" s="149">
        <f t="shared" si="65"/>
        <v>11004.72</v>
      </c>
      <c r="AA96" s="149">
        <f t="shared" si="65"/>
        <v>12380.31</v>
      </c>
      <c r="AB96" s="149">
        <f t="shared" si="65"/>
        <v>13755.899999999998</v>
      </c>
      <c r="AC96" s="149">
        <f t="shared" si="65"/>
        <v>15131.489999999998</v>
      </c>
      <c r="AD96" s="149">
        <f t="shared" si="65"/>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6">+E$16</f>
        <v>12</v>
      </c>
      <c r="F99" s="79">
        <f t="shared" ref="F99:Q100" si="67">ROUND(+$R99/$E99,2)</f>
        <v>1160.58</v>
      </c>
      <c r="G99" s="79">
        <f t="shared" si="67"/>
        <v>1160.58</v>
      </c>
      <c r="H99" s="79">
        <f t="shared" si="67"/>
        <v>1160.58</v>
      </c>
      <c r="I99" s="79">
        <f t="shared" si="67"/>
        <v>1160.58</v>
      </c>
      <c r="J99" s="79">
        <f t="shared" si="67"/>
        <v>1160.58</v>
      </c>
      <c r="K99" s="79">
        <f t="shared" si="67"/>
        <v>1160.58</v>
      </c>
      <c r="L99" s="79">
        <f t="shared" si="67"/>
        <v>1160.58</v>
      </c>
      <c r="M99" s="79">
        <f t="shared" si="67"/>
        <v>1160.58</v>
      </c>
      <c r="N99" s="79">
        <f t="shared" si="67"/>
        <v>1160.58</v>
      </c>
      <c r="O99" s="79">
        <f t="shared" si="67"/>
        <v>1160.58</v>
      </c>
      <c r="P99" s="79">
        <f t="shared" si="67"/>
        <v>1160.58</v>
      </c>
      <c r="Q99" s="79">
        <f t="shared" si="67"/>
        <v>1160.58</v>
      </c>
      <c r="R99" s="71">
        <v>13927</v>
      </c>
      <c r="S99" s="139">
        <f t="shared" ref="S99:S100" si="68">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67"/>
        <v>93.75</v>
      </c>
      <c r="G100" s="79">
        <f t="shared" si="67"/>
        <v>93.75</v>
      </c>
      <c r="H100" s="79">
        <f t="shared" si="67"/>
        <v>93.75</v>
      </c>
      <c r="I100" s="79">
        <f t="shared" si="67"/>
        <v>93.75</v>
      </c>
      <c r="J100" s="71">
        <v>0</v>
      </c>
      <c r="K100" s="71">
        <v>0</v>
      </c>
      <c r="L100" s="71">
        <v>0</v>
      </c>
      <c r="M100" s="71">
        <v>0</v>
      </c>
      <c r="N100" s="221">
        <f>ROUND(+$R100/$E100,2)-469+563</f>
        <v>187.75</v>
      </c>
      <c r="O100" s="79">
        <f t="shared" si="67"/>
        <v>93.75</v>
      </c>
      <c r="P100" s="79">
        <f t="shared" si="67"/>
        <v>93.75</v>
      </c>
      <c r="Q100" s="221">
        <f>ROUND(+$R100/$E100,2)-844+750</f>
        <v>-0.25</v>
      </c>
      <c r="R100" s="71">
        <v>750</v>
      </c>
      <c r="S100" s="139">
        <f t="shared" si="68"/>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562.75</v>
      </c>
      <c r="AB100" s="139">
        <f>SUM($F100:O100)</f>
        <v>656.5</v>
      </c>
      <c r="AC100" s="139">
        <f>SUM($F100:P100)</f>
        <v>750.25</v>
      </c>
      <c r="AD100" s="139">
        <f>SUM($F100:Q100)</f>
        <v>750</v>
      </c>
    </row>
    <row r="101" spans="1:30" s="5" customFormat="1" x14ac:dyDescent="0.25">
      <c r="A101" s="106">
        <v>96</v>
      </c>
      <c r="B101" s="33" t="s">
        <v>66</v>
      </c>
      <c r="C101" s="33"/>
      <c r="D101" s="33"/>
      <c r="E101" s="96"/>
      <c r="F101" s="80">
        <f t="shared" ref="F101:Q101" si="69">SUM(F99:F100)</f>
        <v>1254.33</v>
      </c>
      <c r="G101" s="80">
        <f t="shared" si="69"/>
        <v>1254.33</v>
      </c>
      <c r="H101" s="80">
        <f t="shared" si="69"/>
        <v>1254.33</v>
      </c>
      <c r="I101" s="80">
        <f t="shared" si="69"/>
        <v>1254.33</v>
      </c>
      <c r="J101" s="80">
        <f t="shared" si="69"/>
        <v>1160.58</v>
      </c>
      <c r="K101" s="80">
        <f t="shared" si="69"/>
        <v>1160.58</v>
      </c>
      <c r="L101" s="80">
        <f t="shared" si="69"/>
        <v>1160.58</v>
      </c>
      <c r="M101" s="80">
        <f t="shared" si="69"/>
        <v>1160.58</v>
      </c>
      <c r="N101" s="80">
        <f t="shared" si="69"/>
        <v>1348.33</v>
      </c>
      <c r="O101" s="80">
        <f t="shared" si="69"/>
        <v>1254.33</v>
      </c>
      <c r="P101" s="80">
        <f t="shared" si="69"/>
        <v>1254.33</v>
      </c>
      <c r="Q101" s="80">
        <f t="shared" si="69"/>
        <v>1160.33</v>
      </c>
      <c r="R101" s="80">
        <f>SUM(R99:R100)</f>
        <v>14677</v>
      </c>
      <c r="S101" s="149">
        <f t="shared" ref="S101:AD101" si="70">SUM(S99:S100)</f>
        <v>1254.33</v>
      </c>
      <c r="T101" s="149">
        <f t="shared" si="70"/>
        <v>2508.66</v>
      </c>
      <c r="U101" s="149">
        <f t="shared" si="70"/>
        <v>3762.99</v>
      </c>
      <c r="V101" s="149">
        <f t="shared" si="70"/>
        <v>5017.32</v>
      </c>
      <c r="W101" s="149">
        <f t="shared" si="70"/>
        <v>6177.9</v>
      </c>
      <c r="X101" s="149">
        <f t="shared" si="70"/>
        <v>7338.48</v>
      </c>
      <c r="Y101" s="149">
        <f t="shared" si="70"/>
        <v>8499.06</v>
      </c>
      <c r="Z101" s="149">
        <f t="shared" si="70"/>
        <v>9659.64</v>
      </c>
      <c r="AA101" s="149">
        <f t="shared" si="70"/>
        <v>11007.97</v>
      </c>
      <c r="AB101" s="149">
        <f t="shared" si="70"/>
        <v>12262.3</v>
      </c>
      <c r="AC101" s="149">
        <f t="shared" si="70"/>
        <v>13516.63</v>
      </c>
      <c r="AD101" s="149">
        <f t="shared" si="70"/>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1">+E$16</f>
        <v>12</v>
      </c>
      <c r="F104" s="79">
        <f t="shared" ref="F104:Q109" si="72">ROUND(+$R104/$E104,2)</f>
        <v>2971.17</v>
      </c>
      <c r="G104" s="79">
        <f t="shared" si="72"/>
        <v>2971.17</v>
      </c>
      <c r="H104" s="79">
        <f t="shared" si="72"/>
        <v>2971.17</v>
      </c>
      <c r="I104" s="79">
        <f t="shared" si="72"/>
        <v>2971.17</v>
      </c>
      <c r="J104" s="79">
        <f t="shared" si="72"/>
        <v>2971.17</v>
      </c>
      <c r="K104" s="79">
        <f t="shared" si="72"/>
        <v>2971.17</v>
      </c>
      <c r="L104" s="79">
        <f t="shared" si="72"/>
        <v>2971.17</v>
      </c>
      <c r="M104" s="79">
        <f t="shared" si="72"/>
        <v>2971.17</v>
      </c>
      <c r="N104" s="79">
        <f t="shared" si="72"/>
        <v>2971.17</v>
      </c>
      <c r="O104" s="79">
        <f t="shared" si="72"/>
        <v>2971.17</v>
      </c>
      <c r="P104" s="79">
        <f t="shared" si="72"/>
        <v>2971.17</v>
      </c>
      <c r="Q104" s="79">
        <f t="shared" si="72"/>
        <v>2971.17</v>
      </c>
      <c r="R104" s="71">
        <v>35654</v>
      </c>
      <c r="S104" s="139">
        <f t="shared" ref="S104:S109" si="73">SUM(F104)</f>
        <v>2971.17</v>
      </c>
      <c r="T104" s="139">
        <f>SUM($F104:G104)</f>
        <v>5942.34</v>
      </c>
      <c r="U104" s="139">
        <f>SUM($F104:H104)</f>
        <v>8913.51</v>
      </c>
      <c r="V104" s="139">
        <f>SUM($F104:I104)</f>
        <v>11884.68</v>
      </c>
      <c r="W104" s="139">
        <f>SUM($F104:J104)</f>
        <v>14855.85</v>
      </c>
      <c r="X104" s="139">
        <f>SUM($F104:K104)</f>
        <v>17827.02</v>
      </c>
      <c r="Y104" s="139">
        <f>SUM($F104:L104)</f>
        <v>20798.190000000002</v>
      </c>
      <c r="Z104" s="139">
        <f>SUM($F104:M104)</f>
        <v>23769.360000000001</v>
      </c>
      <c r="AA104" s="139">
        <f>SUM($F104:N104)</f>
        <v>26740.53</v>
      </c>
      <c r="AB104" s="139">
        <f>SUM($F104:O104)</f>
        <v>29711.699999999997</v>
      </c>
      <c r="AC104" s="139">
        <f>SUM($F104:P104)</f>
        <v>32682.869999999995</v>
      </c>
      <c r="AD104" s="139">
        <f>SUM($F104:Q104)</f>
        <v>35654.039999999994</v>
      </c>
    </row>
    <row r="105" spans="1:30" x14ac:dyDescent="0.25">
      <c r="A105" s="106">
        <v>100</v>
      </c>
      <c r="C105" s="1" t="s">
        <v>56</v>
      </c>
      <c r="E105" s="101">
        <f t="shared" si="71"/>
        <v>12</v>
      </c>
      <c r="F105" s="79">
        <f t="shared" si="72"/>
        <v>395.17</v>
      </c>
      <c r="G105" s="79">
        <f t="shared" si="72"/>
        <v>395.17</v>
      </c>
      <c r="H105" s="79">
        <f t="shared" si="72"/>
        <v>395.17</v>
      </c>
      <c r="I105" s="79">
        <f t="shared" si="72"/>
        <v>395.17</v>
      </c>
      <c r="J105" s="79">
        <f t="shared" si="72"/>
        <v>395.17</v>
      </c>
      <c r="K105" s="79">
        <f t="shared" si="72"/>
        <v>395.17</v>
      </c>
      <c r="L105" s="79">
        <f t="shared" si="72"/>
        <v>395.17</v>
      </c>
      <c r="M105" s="79">
        <f t="shared" si="72"/>
        <v>395.17</v>
      </c>
      <c r="N105" s="79">
        <f t="shared" si="72"/>
        <v>395.17</v>
      </c>
      <c r="O105" s="79">
        <f t="shared" si="72"/>
        <v>395.17</v>
      </c>
      <c r="P105" s="79">
        <f t="shared" si="72"/>
        <v>395.17</v>
      </c>
      <c r="Q105" s="79">
        <f t="shared" si="72"/>
        <v>395.17</v>
      </c>
      <c r="R105" s="71">
        <v>4742</v>
      </c>
      <c r="S105" s="139">
        <f t="shared" si="73"/>
        <v>395.17</v>
      </c>
      <c r="T105" s="139">
        <f>SUM($F105:G105)</f>
        <v>790.34</v>
      </c>
      <c r="U105" s="139">
        <f>SUM($F105:H105)</f>
        <v>1185.51</v>
      </c>
      <c r="V105" s="139">
        <f>SUM($F105:I105)</f>
        <v>1580.68</v>
      </c>
      <c r="W105" s="139">
        <f>SUM($F105:J105)</f>
        <v>1975.8500000000001</v>
      </c>
      <c r="X105" s="139">
        <f>SUM($F105:K105)</f>
        <v>2371.02</v>
      </c>
      <c r="Y105" s="139">
        <f>SUM($F105:L105)</f>
        <v>2766.19</v>
      </c>
      <c r="Z105" s="139">
        <f>SUM($F105:M105)</f>
        <v>3161.36</v>
      </c>
      <c r="AA105" s="139">
        <f>SUM($F105:N105)</f>
        <v>3556.53</v>
      </c>
      <c r="AB105" s="139">
        <f>SUM($F105:O105)</f>
        <v>3951.7000000000003</v>
      </c>
      <c r="AC105" s="139">
        <f>SUM($F105:P105)</f>
        <v>4346.87</v>
      </c>
      <c r="AD105" s="139">
        <f>SUM($F105:Q105)</f>
        <v>4742.04</v>
      </c>
    </row>
    <row r="106" spans="1:30" x14ac:dyDescent="0.25">
      <c r="A106" s="106">
        <v>101</v>
      </c>
      <c r="C106" s="1" t="s">
        <v>58</v>
      </c>
      <c r="E106" s="101">
        <f t="shared" si="71"/>
        <v>12</v>
      </c>
      <c r="F106" s="79">
        <f t="shared" si="72"/>
        <v>62.5</v>
      </c>
      <c r="G106" s="79">
        <f t="shared" si="72"/>
        <v>62.5</v>
      </c>
      <c r="H106" s="79">
        <f t="shared" si="72"/>
        <v>62.5</v>
      </c>
      <c r="I106" s="79">
        <f t="shared" si="72"/>
        <v>62.5</v>
      </c>
      <c r="J106" s="79">
        <f t="shared" si="72"/>
        <v>62.5</v>
      </c>
      <c r="K106" s="79">
        <f t="shared" si="72"/>
        <v>62.5</v>
      </c>
      <c r="L106" s="79">
        <f t="shared" si="72"/>
        <v>62.5</v>
      </c>
      <c r="M106" s="79">
        <f t="shared" si="72"/>
        <v>62.5</v>
      </c>
      <c r="N106" s="79">
        <f t="shared" si="72"/>
        <v>62.5</v>
      </c>
      <c r="O106" s="79">
        <f t="shared" si="72"/>
        <v>62.5</v>
      </c>
      <c r="P106" s="79">
        <f t="shared" si="72"/>
        <v>62.5</v>
      </c>
      <c r="Q106" s="79">
        <f t="shared" si="72"/>
        <v>62.5</v>
      </c>
      <c r="R106" s="71">
        <v>750</v>
      </c>
      <c r="S106" s="139">
        <f t="shared" si="73"/>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1"/>
        <v>12</v>
      </c>
      <c r="F107" s="79">
        <f t="shared" si="72"/>
        <v>166.67</v>
      </c>
      <c r="G107" s="79">
        <f t="shared" si="72"/>
        <v>166.67</v>
      </c>
      <c r="H107" s="79">
        <f t="shared" si="72"/>
        <v>166.67</v>
      </c>
      <c r="I107" s="79">
        <f t="shared" si="72"/>
        <v>166.67</v>
      </c>
      <c r="J107" s="79">
        <f t="shared" si="72"/>
        <v>166.67</v>
      </c>
      <c r="K107" s="79">
        <f t="shared" si="72"/>
        <v>166.67</v>
      </c>
      <c r="L107" s="79">
        <f t="shared" si="72"/>
        <v>166.67</v>
      </c>
      <c r="M107" s="79">
        <f t="shared" si="72"/>
        <v>166.67</v>
      </c>
      <c r="N107" s="79">
        <f t="shared" si="72"/>
        <v>166.67</v>
      </c>
      <c r="O107" s="79">
        <f t="shared" si="72"/>
        <v>166.67</v>
      </c>
      <c r="P107" s="79">
        <f t="shared" si="72"/>
        <v>166.67</v>
      </c>
      <c r="Q107" s="79">
        <f t="shared" si="72"/>
        <v>166.67</v>
      </c>
      <c r="R107" s="71">
        <v>2000</v>
      </c>
      <c r="S107" s="139">
        <f t="shared" si="73"/>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1"/>
        <v>12</v>
      </c>
      <c r="F108" s="79">
        <f t="shared" si="72"/>
        <v>125</v>
      </c>
      <c r="G108" s="79">
        <f t="shared" si="72"/>
        <v>125</v>
      </c>
      <c r="H108" s="79">
        <f t="shared" si="72"/>
        <v>125</v>
      </c>
      <c r="I108" s="79">
        <f t="shared" si="72"/>
        <v>125</v>
      </c>
      <c r="J108" s="79">
        <f t="shared" si="72"/>
        <v>125</v>
      </c>
      <c r="K108" s="79">
        <f t="shared" si="72"/>
        <v>125</v>
      </c>
      <c r="L108" s="79">
        <f t="shared" si="72"/>
        <v>125</v>
      </c>
      <c r="M108" s="79">
        <f t="shared" si="72"/>
        <v>125</v>
      </c>
      <c r="N108" s="79">
        <f t="shared" si="72"/>
        <v>125</v>
      </c>
      <c r="O108" s="79">
        <f t="shared" si="72"/>
        <v>125</v>
      </c>
      <c r="P108" s="79">
        <f t="shared" si="72"/>
        <v>125</v>
      </c>
      <c r="Q108" s="79">
        <f t="shared" si="72"/>
        <v>125</v>
      </c>
      <c r="R108" s="71">
        <v>1500</v>
      </c>
      <c r="S108" s="139">
        <f t="shared" si="73"/>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1"/>
        <v>12</v>
      </c>
      <c r="F109" s="79">
        <f t="shared" si="72"/>
        <v>106</v>
      </c>
      <c r="G109" s="79">
        <f t="shared" si="72"/>
        <v>106</v>
      </c>
      <c r="H109" s="79">
        <f t="shared" si="72"/>
        <v>106</v>
      </c>
      <c r="I109" s="79">
        <f t="shared" si="72"/>
        <v>106</v>
      </c>
      <c r="J109" s="79">
        <f t="shared" si="72"/>
        <v>106</v>
      </c>
      <c r="K109" s="79">
        <f t="shared" si="72"/>
        <v>106</v>
      </c>
      <c r="L109" s="79">
        <f t="shared" si="72"/>
        <v>106</v>
      </c>
      <c r="M109" s="79">
        <f t="shared" si="72"/>
        <v>106</v>
      </c>
      <c r="N109" s="79">
        <f t="shared" si="72"/>
        <v>106</v>
      </c>
      <c r="O109" s="79">
        <f t="shared" si="72"/>
        <v>106</v>
      </c>
      <c r="P109" s="79">
        <f t="shared" si="72"/>
        <v>106</v>
      </c>
      <c r="Q109" s="79">
        <f t="shared" si="72"/>
        <v>106</v>
      </c>
      <c r="R109" s="71">
        <v>1272</v>
      </c>
      <c r="S109" s="139">
        <f t="shared" si="73"/>
        <v>106</v>
      </c>
      <c r="T109" s="139">
        <f>SUM($F109:G109)</f>
        <v>212</v>
      </c>
      <c r="U109" s="139">
        <f>SUM($F109:H109)</f>
        <v>318</v>
      </c>
      <c r="V109" s="139">
        <f>SUM($F109:I109)</f>
        <v>424</v>
      </c>
      <c r="W109" s="139">
        <f>SUM($F109:J109)</f>
        <v>530</v>
      </c>
      <c r="X109" s="139">
        <f>SUM($F109:K109)</f>
        <v>636</v>
      </c>
      <c r="Y109" s="139">
        <f>SUM($F109:L109)</f>
        <v>742</v>
      </c>
      <c r="Z109" s="139">
        <f>SUM($F109:M109)</f>
        <v>848</v>
      </c>
      <c r="AA109" s="139">
        <f>SUM($F109:N109)</f>
        <v>954</v>
      </c>
      <c r="AB109" s="139">
        <f>SUM($F109:O109)</f>
        <v>1060</v>
      </c>
      <c r="AC109" s="139">
        <f>SUM($F109:P109)</f>
        <v>1166</v>
      </c>
      <c r="AD109" s="139">
        <f>SUM($F109:Q109)</f>
        <v>1272</v>
      </c>
    </row>
    <row r="110" spans="1:30" s="5" customFormat="1" x14ac:dyDescent="0.25">
      <c r="A110" s="106">
        <v>105</v>
      </c>
      <c r="B110" s="33" t="s">
        <v>69</v>
      </c>
      <c r="C110" s="33"/>
      <c r="D110" s="33"/>
      <c r="E110" s="96"/>
      <c r="F110" s="80">
        <f t="shared" ref="F110:Q110" si="74">SUM(F104:F109)</f>
        <v>3826.51</v>
      </c>
      <c r="G110" s="80">
        <f t="shared" si="74"/>
        <v>3826.51</v>
      </c>
      <c r="H110" s="80">
        <f t="shared" si="74"/>
        <v>3826.51</v>
      </c>
      <c r="I110" s="80">
        <f t="shared" si="74"/>
        <v>3826.51</v>
      </c>
      <c r="J110" s="80">
        <f t="shared" si="74"/>
        <v>3826.51</v>
      </c>
      <c r="K110" s="80">
        <f t="shared" si="74"/>
        <v>3826.51</v>
      </c>
      <c r="L110" s="80">
        <f t="shared" si="74"/>
        <v>3826.51</v>
      </c>
      <c r="M110" s="80">
        <f t="shared" si="74"/>
        <v>3826.51</v>
      </c>
      <c r="N110" s="80">
        <f t="shared" si="74"/>
        <v>3826.51</v>
      </c>
      <c r="O110" s="80">
        <f t="shared" si="74"/>
        <v>3826.51</v>
      </c>
      <c r="P110" s="80">
        <f t="shared" si="74"/>
        <v>3826.51</v>
      </c>
      <c r="Q110" s="80">
        <f t="shared" si="74"/>
        <v>3826.51</v>
      </c>
      <c r="R110" s="80">
        <f>SUM(R104:R109)</f>
        <v>45918</v>
      </c>
      <c r="S110" s="149">
        <f t="shared" ref="S110:AD110" si="75">SUM(S104:S109)</f>
        <v>3826.51</v>
      </c>
      <c r="T110" s="149">
        <f t="shared" si="75"/>
        <v>7653.02</v>
      </c>
      <c r="U110" s="149">
        <f t="shared" si="75"/>
        <v>11479.53</v>
      </c>
      <c r="V110" s="149">
        <f t="shared" si="75"/>
        <v>15306.04</v>
      </c>
      <c r="W110" s="149">
        <f t="shared" si="75"/>
        <v>19132.55</v>
      </c>
      <c r="X110" s="149">
        <f t="shared" si="75"/>
        <v>22959.06</v>
      </c>
      <c r="Y110" s="149">
        <f t="shared" si="75"/>
        <v>26785.57</v>
      </c>
      <c r="Z110" s="149">
        <f t="shared" si="75"/>
        <v>30612.080000000002</v>
      </c>
      <c r="AA110" s="149">
        <f t="shared" si="75"/>
        <v>34438.589999999997</v>
      </c>
      <c r="AB110" s="149">
        <f t="shared" si="75"/>
        <v>38265.099999999991</v>
      </c>
      <c r="AC110" s="149">
        <f t="shared" si="75"/>
        <v>42091.61</v>
      </c>
      <c r="AD110" s="149">
        <f t="shared" si="75"/>
        <v>45918.119999999995</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6">+E$16</f>
        <v>12</v>
      </c>
      <c r="F113" s="79">
        <f t="shared" ref="F113:Q118" si="77">ROUND(+$R113/$E113,2)</f>
        <v>798.33</v>
      </c>
      <c r="G113" s="79">
        <f t="shared" si="77"/>
        <v>798.33</v>
      </c>
      <c r="H113" s="79">
        <f t="shared" si="77"/>
        <v>798.33</v>
      </c>
      <c r="I113" s="79">
        <f t="shared" si="77"/>
        <v>798.33</v>
      </c>
      <c r="J113" s="79">
        <f t="shared" si="77"/>
        <v>798.33</v>
      </c>
      <c r="K113" s="79">
        <f t="shared" si="77"/>
        <v>798.33</v>
      </c>
      <c r="L113" s="79">
        <f t="shared" si="77"/>
        <v>798.33</v>
      </c>
      <c r="M113" s="79">
        <f t="shared" si="77"/>
        <v>798.33</v>
      </c>
      <c r="N113" s="79">
        <f t="shared" si="77"/>
        <v>798.33</v>
      </c>
      <c r="O113" s="79">
        <f t="shared" si="77"/>
        <v>798.33</v>
      </c>
      <c r="P113" s="79">
        <f t="shared" si="77"/>
        <v>798.33</v>
      </c>
      <c r="Q113" s="79">
        <f t="shared" si="77"/>
        <v>798.33</v>
      </c>
      <c r="R113" s="71">
        <v>9580</v>
      </c>
      <c r="S113" s="139">
        <f t="shared" ref="S113:S118" si="78">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76"/>
        <v>12</v>
      </c>
      <c r="F114" s="79">
        <f t="shared" si="77"/>
        <v>41.67</v>
      </c>
      <c r="G114" s="79">
        <f t="shared" si="77"/>
        <v>41.67</v>
      </c>
      <c r="H114" s="79">
        <f t="shared" si="77"/>
        <v>41.67</v>
      </c>
      <c r="I114" s="79">
        <f t="shared" si="77"/>
        <v>41.67</v>
      </c>
      <c r="J114" s="79">
        <f t="shared" si="77"/>
        <v>41.67</v>
      </c>
      <c r="K114" s="79">
        <f t="shared" si="77"/>
        <v>41.67</v>
      </c>
      <c r="L114" s="79">
        <f t="shared" si="77"/>
        <v>41.67</v>
      </c>
      <c r="M114" s="79">
        <f t="shared" si="77"/>
        <v>41.67</v>
      </c>
      <c r="N114" s="79">
        <f t="shared" si="77"/>
        <v>41.67</v>
      </c>
      <c r="O114" s="79">
        <f t="shared" si="77"/>
        <v>41.67</v>
      </c>
      <c r="P114" s="79">
        <f t="shared" si="77"/>
        <v>41.67</v>
      </c>
      <c r="Q114" s="79">
        <f t="shared" si="77"/>
        <v>41.67</v>
      </c>
      <c r="R114" s="71">
        <v>500</v>
      </c>
      <c r="S114" s="139">
        <f t="shared" si="78"/>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6"/>
        <v>12</v>
      </c>
      <c r="F115" s="79">
        <f t="shared" si="77"/>
        <v>1512.67</v>
      </c>
      <c r="G115" s="79">
        <f t="shared" si="77"/>
        <v>1512.67</v>
      </c>
      <c r="H115" s="79">
        <f t="shared" si="77"/>
        <v>1512.67</v>
      </c>
      <c r="I115" s="79">
        <f t="shared" si="77"/>
        <v>1512.67</v>
      </c>
      <c r="J115" s="79">
        <f t="shared" si="77"/>
        <v>1512.67</v>
      </c>
      <c r="K115" s="79">
        <f t="shared" si="77"/>
        <v>1512.67</v>
      </c>
      <c r="L115" s="79">
        <f t="shared" si="77"/>
        <v>1512.67</v>
      </c>
      <c r="M115" s="79">
        <f t="shared" si="77"/>
        <v>1512.67</v>
      </c>
      <c r="N115" s="79">
        <f t="shared" si="77"/>
        <v>1512.67</v>
      </c>
      <c r="O115" s="79">
        <f t="shared" si="77"/>
        <v>1512.67</v>
      </c>
      <c r="P115" s="79">
        <f t="shared" si="77"/>
        <v>1512.67</v>
      </c>
      <c r="Q115" s="79">
        <f t="shared" si="77"/>
        <v>1512.67</v>
      </c>
      <c r="R115" s="71">
        <v>18152</v>
      </c>
      <c r="S115" s="139">
        <f t="shared" si="78"/>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77"/>
        <v>671.3</v>
      </c>
      <c r="G116" s="79">
        <f t="shared" si="77"/>
        <v>671.3</v>
      </c>
      <c r="H116" s="79">
        <f t="shared" si="77"/>
        <v>671.3</v>
      </c>
      <c r="I116" s="79">
        <f t="shared" si="77"/>
        <v>671.3</v>
      </c>
      <c r="J116" s="79">
        <f t="shared" si="77"/>
        <v>671.3</v>
      </c>
      <c r="K116" s="79">
        <f t="shared" si="77"/>
        <v>671.3</v>
      </c>
      <c r="L116" s="71">
        <v>0</v>
      </c>
      <c r="M116" s="71">
        <v>0</v>
      </c>
      <c r="N116" s="79">
        <f t="shared" si="77"/>
        <v>671.3</v>
      </c>
      <c r="O116" s="79">
        <f t="shared" si="77"/>
        <v>671.3</v>
      </c>
      <c r="P116" s="79">
        <f t="shared" si="77"/>
        <v>671.3</v>
      </c>
      <c r="Q116" s="79">
        <f t="shared" si="77"/>
        <v>671.3</v>
      </c>
      <c r="R116" s="71">
        <v>6713</v>
      </c>
      <c r="S116" s="139">
        <f t="shared" si="78"/>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79">+E$16</f>
        <v>12</v>
      </c>
      <c r="F117" s="79">
        <f t="shared" si="77"/>
        <v>141.5</v>
      </c>
      <c r="G117" s="79">
        <f t="shared" si="77"/>
        <v>141.5</v>
      </c>
      <c r="H117" s="79">
        <f t="shared" si="77"/>
        <v>141.5</v>
      </c>
      <c r="I117" s="79">
        <f t="shared" si="77"/>
        <v>141.5</v>
      </c>
      <c r="J117" s="79">
        <f t="shared" si="77"/>
        <v>141.5</v>
      </c>
      <c r="K117" s="79">
        <f t="shared" si="77"/>
        <v>141.5</v>
      </c>
      <c r="L117" s="79">
        <f t="shared" si="77"/>
        <v>141.5</v>
      </c>
      <c r="M117" s="79">
        <f t="shared" si="77"/>
        <v>141.5</v>
      </c>
      <c r="N117" s="79">
        <f t="shared" si="77"/>
        <v>141.5</v>
      </c>
      <c r="O117" s="79">
        <f t="shared" si="77"/>
        <v>141.5</v>
      </c>
      <c r="P117" s="79">
        <f t="shared" si="77"/>
        <v>141.5</v>
      </c>
      <c r="Q117" s="79">
        <f t="shared" si="77"/>
        <v>141.5</v>
      </c>
      <c r="R117" s="71">
        <v>1698</v>
      </c>
      <c r="S117" s="139">
        <f t="shared" si="78"/>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9"/>
        <v>12</v>
      </c>
      <c r="F118" s="79">
        <f t="shared" si="77"/>
        <v>200</v>
      </c>
      <c r="G118" s="79">
        <f t="shared" si="77"/>
        <v>200</v>
      </c>
      <c r="H118" s="79">
        <f t="shared" si="77"/>
        <v>200</v>
      </c>
      <c r="I118" s="79">
        <f t="shared" si="77"/>
        <v>200</v>
      </c>
      <c r="J118" s="79">
        <f t="shared" si="77"/>
        <v>200</v>
      </c>
      <c r="K118" s="79">
        <f t="shared" si="77"/>
        <v>200</v>
      </c>
      <c r="L118" s="79">
        <f t="shared" si="77"/>
        <v>200</v>
      </c>
      <c r="M118" s="79">
        <f t="shared" si="77"/>
        <v>200</v>
      </c>
      <c r="N118" s="79">
        <f t="shared" si="77"/>
        <v>200</v>
      </c>
      <c r="O118" s="79">
        <f t="shared" si="77"/>
        <v>200</v>
      </c>
      <c r="P118" s="79">
        <f t="shared" si="77"/>
        <v>200</v>
      </c>
      <c r="Q118" s="79">
        <f t="shared" si="77"/>
        <v>200</v>
      </c>
      <c r="R118" s="71">
        <v>2400</v>
      </c>
      <c r="S118" s="139">
        <f t="shared" si="7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80">SUM(F113:F118)</f>
        <v>3365.4700000000003</v>
      </c>
      <c r="G119" s="80">
        <f t="shared" si="80"/>
        <v>3365.4700000000003</v>
      </c>
      <c r="H119" s="80">
        <f t="shared" si="80"/>
        <v>3365.4700000000003</v>
      </c>
      <c r="I119" s="80">
        <f t="shared" si="80"/>
        <v>3365.4700000000003</v>
      </c>
      <c r="J119" s="80">
        <f t="shared" si="80"/>
        <v>3365.4700000000003</v>
      </c>
      <c r="K119" s="80">
        <f t="shared" si="80"/>
        <v>3365.4700000000003</v>
      </c>
      <c r="L119" s="80">
        <f t="shared" si="80"/>
        <v>2694.17</v>
      </c>
      <c r="M119" s="80">
        <f t="shared" si="80"/>
        <v>2694.17</v>
      </c>
      <c r="N119" s="80">
        <f t="shared" si="80"/>
        <v>3365.4700000000003</v>
      </c>
      <c r="O119" s="80">
        <f t="shared" si="80"/>
        <v>3365.4700000000003</v>
      </c>
      <c r="P119" s="80">
        <f t="shared" si="80"/>
        <v>3365.4700000000003</v>
      </c>
      <c r="Q119" s="80">
        <f t="shared" si="80"/>
        <v>3365.4700000000003</v>
      </c>
      <c r="R119" s="80">
        <f>SUM(R113:R118)</f>
        <v>39043</v>
      </c>
      <c r="S119" s="149">
        <f t="shared" ref="S119:AD119" si="81">SUM(S113:S118)</f>
        <v>3365.4700000000003</v>
      </c>
      <c r="T119" s="149">
        <f t="shared" si="81"/>
        <v>6730.9400000000005</v>
      </c>
      <c r="U119" s="149">
        <f t="shared" si="81"/>
        <v>10096.41</v>
      </c>
      <c r="V119" s="149">
        <f t="shared" si="81"/>
        <v>13461.880000000001</v>
      </c>
      <c r="W119" s="149">
        <f t="shared" si="81"/>
        <v>16827.349999999999</v>
      </c>
      <c r="X119" s="149">
        <f t="shared" si="81"/>
        <v>20192.82</v>
      </c>
      <c r="Y119" s="149">
        <f t="shared" si="81"/>
        <v>22886.99</v>
      </c>
      <c r="Z119" s="149">
        <f t="shared" si="81"/>
        <v>25581.16</v>
      </c>
      <c r="AA119" s="149">
        <f t="shared" si="81"/>
        <v>28946.629999999997</v>
      </c>
      <c r="AB119" s="149">
        <f t="shared" si="81"/>
        <v>32312.100000000002</v>
      </c>
      <c r="AC119" s="149">
        <f t="shared" si="81"/>
        <v>35677.570000000007</v>
      </c>
      <c r="AD119" s="149">
        <f t="shared" si="81"/>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f t="shared" ref="E122:E128" si="82">+E$16</f>
        <v>12</v>
      </c>
      <c r="F122" s="79">
        <f t="shared" ref="F122:Q131" si="83">ROUND(+$R122/$E122,2)</f>
        <v>1031.25</v>
      </c>
      <c r="G122" s="79">
        <f t="shared" si="83"/>
        <v>1031.25</v>
      </c>
      <c r="H122" s="79">
        <f t="shared" si="83"/>
        <v>1031.25</v>
      </c>
      <c r="I122" s="79">
        <f t="shared" si="83"/>
        <v>1031.25</v>
      </c>
      <c r="J122" s="79">
        <f t="shared" si="83"/>
        <v>1031.25</v>
      </c>
      <c r="K122" s="79">
        <f t="shared" si="83"/>
        <v>1031.25</v>
      </c>
      <c r="L122" s="79">
        <f t="shared" si="83"/>
        <v>1031.25</v>
      </c>
      <c r="M122" s="79">
        <f t="shared" si="83"/>
        <v>1031.25</v>
      </c>
      <c r="N122" s="79">
        <f t="shared" si="83"/>
        <v>1031.25</v>
      </c>
      <c r="O122" s="79">
        <f t="shared" si="83"/>
        <v>1031.25</v>
      </c>
      <c r="P122" s="79">
        <f t="shared" si="83"/>
        <v>1031.25</v>
      </c>
      <c r="Q122" s="79">
        <f t="shared" si="83"/>
        <v>1031.25</v>
      </c>
      <c r="R122" s="71">
        <v>12375</v>
      </c>
      <c r="S122" s="139">
        <f t="shared" ref="S122:S131" si="84">SUM(F122)</f>
        <v>1031.25</v>
      </c>
      <c r="T122" s="139">
        <f>SUM($F122:G122)</f>
        <v>2062.5</v>
      </c>
      <c r="U122" s="139">
        <f>SUM($F122:H122)</f>
        <v>3093.75</v>
      </c>
      <c r="V122" s="139">
        <f>SUM($F122:I122)</f>
        <v>4125</v>
      </c>
      <c r="W122" s="139">
        <f>SUM($F122:J122)</f>
        <v>5156.25</v>
      </c>
      <c r="X122" s="139">
        <f>SUM($F122:K122)</f>
        <v>6187.5</v>
      </c>
      <c r="Y122" s="139">
        <f>SUM($F122:L122)</f>
        <v>7218.75</v>
      </c>
      <c r="Z122" s="139">
        <f>SUM($F122:M122)</f>
        <v>8250</v>
      </c>
      <c r="AA122" s="139">
        <f>SUM($F122:N122)</f>
        <v>9281.25</v>
      </c>
      <c r="AB122" s="139">
        <f>SUM($F122:O122)</f>
        <v>10312.5</v>
      </c>
      <c r="AC122" s="139">
        <f>SUM($F122:P122)</f>
        <v>11343.75</v>
      </c>
      <c r="AD122" s="139">
        <f>SUM($F122:Q122)</f>
        <v>12375</v>
      </c>
    </row>
    <row r="123" spans="1:30" x14ac:dyDescent="0.25">
      <c r="A123" s="106">
        <v>118</v>
      </c>
      <c r="C123" s="1" t="s">
        <v>80</v>
      </c>
      <c r="E123" s="101">
        <f t="shared" si="82"/>
        <v>12</v>
      </c>
      <c r="F123" s="79">
        <f t="shared" si="83"/>
        <v>2643.17</v>
      </c>
      <c r="G123" s="79">
        <f t="shared" si="83"/>
        <v>2643.17</v>
      </c>
      <c r="H123" s="79">
        <f t="shared" si="83"/>
        <v>2643.17</v>
      </c>
      <c r="I123" s="79">
        <f t="shared" si="83"/>
        <v>2643.17</v>
      </c>
      <c r="J123" s="79">
        <f t="shared" si="83"/>
        <v>2643.17</v>
      </c>
      <c r="K123" s="79">
        <f t="shared" si="83"/>
        <v>2643.17</v>
      </c>
      <c r="L123" s="79">
        <f t="shared" si="83"/>
        <v>2643.17</v>
      </c>
      <c r="M123" s="79">
        <f t="shared" si="83"/>
        <v>2643.17</v>
      </c>
      <c r="N123" s="79">
        <f t="shared" si="83"/>
        <v>2643.17</v>
      </c>
      <c r="O123" s="79">
        <f t="shared" si="83"/>
        <v>2643.17</v>
      </c>
      <c r="P123" s="79">
        <f t="shared" si="83"/>
        <v>2643.17</v>
      </c>
      <c r="Q123" s="79">
        <f t="shared" si="83"/>
        <v>2643.17</v>
      </c>
      <c r="R123" s="71">
        <v>31718</v>
      </c>
      <c r="S123" s="139">
        <f t="shared" si="84"/>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82"/>
        <v>12</v>
      </c>
      <c r="F124" s="79">
        <f t="shared" si="83"/>
        <v>41.67</v>
      </c>
      <c r="G124" s="79">
        <f t="shared" si="83"/>
        <v>41.67</v>
      </c>
      <c r="H124" s="79">
        <f t="shared" si="83"/>
        <v>41.67</v>
      </c>
      <c r="I124" s="79">
        <f t="shared" si="83"/>
        <v>41.67</v>
      </c>
      <c r="J124" s="79">
        <f t="shared" si="83"/>
        <v>41.67</v>
      </c>
      <c r="K124" s="79">
        <f t="shared" si="83"/>
        <v>41.67</v>
      </c>
      <c r="L124" s="79">
        <f t="shared" si="83"/>
        <v>41.67</v>
      </c>
      <c r="M124" s="79">
        <f t="shared" si="83"/>
        <v>41.67</v>
      </c>
      <c r="N124" s="79">
        <f t="shared" si="83"/>
        <v>41.67</v>
      </c>
      <c r="O124" s="79">
        <f t="shared" si="83"/>
        <v>41.67</v>
      </c>
      <c r="P124" s="79">
        <f t="shared" si="83"/>
        <v>41.67</v>
      </c>
      <c r="Q124" s="79">
        <f t="shared" si="83"/>
        <v>41.67</v>
      </c>
      <c r="R124" s="71">
        <v>500</v>
      </c>
      <c r="S124" s="139">
        <f t="shared" si="84"/>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82"/>
        <v>12</v>
      </c>
      <c r="F125" s="79">
        <f t="shared" si="83"/>
        <v>83.33</v>
      </c>
      <c r="G125" s="79">
        <f t="shared" si="83"/>
        <v>83.33</v>
      </c>
      <c r="H125" s="79">
        <f t="shared" si="83"/>
        <v>83.33</v>
      </c>
      <c r="I125" s="79">
        <f t="shared" si="83"/>
        <v>83.33</v>
      </c>
      <c r="J125" s="79">
        <f t="shared" si="83"/>
        <v>83.33</v>
      </c>
      <c r="K125" s="79">
        <f t="shared" si="83"/>
        <v>83.33</v>
      </c>
      <c r="L125" s="79">
        <f t="shared" si="83"/>
        <v>83.33</v>
      </c>
      <c r="M125" s="79">
        <f t="shared" si="83"/>
        <v>83.33</v>
      </c>
      <c r="N125" s="79">
        <f t="shared" si="83"/>
        <v>83.33</v>
      </c>
      <c r="O125" s="79">
        <f t="shared" si="83"/>
        <v>83.33</v>
      </c>
      <c r="P125" s="79">
        <f t="shared" si="83"/>
        <v>83.33</v>
      </c>
      <c r="Q125" s="79">
        <f t="shared" si="83"/>
        <v>83.33</v>
      </c>
      <c r="R125" s="71">
        <v>1000</v>
      </c>
      <c r="S125" s="139">
        <f t="shared" si="84"/>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82"/>
        <v>12</v>
      </c>
      <c r="F126" s="79">
        <f t="shared" si="83"/>
        <v>0</v>
      </c>
      <c r="G126" s="79">
        <f t="shared" si="83"/>
        <v>0</v>
      </c>
      <c r="H126" s="79">
        <f t="shared" si="83"/>
        <v>0</v>
      </c>
      <c r="I126" s="79">
        <f t="shared" si="83"/>
        <v>0</v>
      </c>
      <c r="J126" s="79">
        <f t="shared" si="83"/>
        <v>0</v>
      </c>
      <c r="K126" s="79">
        <f t="shared" si="83"/>
        <v>0</v>
      </c>
      <c r="L126" s="79">
        <f t="shared" si="83"/>
        <v>0</v>
      </c>
      <c r="M126" s="79">
        <f t="shared" si="83"/>
        <v>0</v>
      </c>
      <c r="N126" s="79">
        <f t="shared" si="83"/>
        <v>0</v>
      </c>
      <c r="O126" s="79">
        <f t="shared" si="83"/>
        <v>0</v>
      </c>
      <c r="P126" s="79">
        <f t="shared" si="83"/>
        <v>0</v>
      </c>
      <c r="Q126" s="79">
        <f t="shared" si="83"/>
        <v>0</v>
      </c>
      <c r="R126" s="71">
        <v>0</v>
      </c>
      <c r="S126" s="139">
        <f t="shared" si="84"/>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f t="shared" si="82"/>
        <v>12</v>
      </c>
      <c r="F127" s="79">
        <f t="shared" si="83"/>
        <v>1462.5</v>
      </c>
      <c r="G127" s="79">
        <f t="shared" si="83"/>
        <v>1462.5</v>
      </c>
      <c r="H127" s="79">
        <f t="shared" si="83"/>
        <v>1462.5</v>
      </c>
      <c r="I127" s="79">
        <f t="shared" si="83"/>
        <v>1462.5</v>
      </c>
      <c r="J127" s="79">
        <f t="shared" si="83"/>
        <v>1462.5</v>
      </c>
      <c r="K127" s="79">
        <f t="shared" si="83"/>
        <v>1462.5</v>
      </c>
      <c r="L127" s="79">
        <f t="shared" si="83"/>
        <v>1462.5</v>
      </c>
      <c r="M127" s="79">
        <f t="shared" si="83"/>
        <v>1462.5</v>
      </c>
      <c r="N127" s="79">
        <f t="shared" si="83"/>
        <v>1462.5</v>
      </c>
      <c r="O127" s="79">
        <f t="shared" si="83"/>
        <v>1462.5</v>
      </c>
      <c r="P127" s="79">
        <f t="shared" si="83"/>
        <v>1462.5</v>
      </c>
      <c r="Q127" s="79">
        <f t="shared" si="83"/>
        <v>1462.5</v>
      </c>
      <c r="R127" s="71">
        <v>17550</v>
      </c>
      <c r="S127" s="139">
        <f t="shared" si="84"/>
        <v>1462.5</v>
      </c>
      <c r="T127" s="139">
        <f>SUM($F127:G127)</f>
        <v>2925</v>
      </c>
      <c r="U127" s="139">
        <f>SUM($F127:H127)</f>
        <v>4387.5</v>
      </c>
      <c r="V127" s="139">
        <f>SUM($F127:I127)</f>
        <v>5850</v>
      </c>
      <c r="W127" s="139">
        <f>SUM($F127:J127)</f>
        <v>7312.5</v>
      </c>
      <c r="X127" s="139">
        <f>SUM($F127:K127)</f>
        <v>8775</v>
      </c>
      <c r="Y127" s="139">
        <f>SUM($F127:L127)</f>
        <v>10237.5</v>
      </c>
      <c r="Z127" s="139">
        <f>SUM($F127:M127)</f>
        <v>11700</v>
      </c>
      <c r="AA127" s="139">
        <f>SUM($F127:N127)</f>
        <v>13162.5</v>
      </c>
      <c r="AB127" s="139">
        <f>SUM($F127:O127)</f>
        <v>14625</v>
      </c>
      <c r="AC127" s="139">
        <f>SUM($F127:P127)</f>
        <v>16087.5</v>
      </c>
      <c r="AD127" s="139">
        <f>SUM($F127:Q127)</f>
        <v>17550</v>
      </c>
    </row>
    <row r="128" spans="1:30" x14ac:dyDescent="0.25">
      <c r="A128" s="106">
        <v>123</v>
      </c>
      <c r="C128" s="1" t="s">
        <v>84</v>
      </c>
      <c r="E128" s="101">
        <f t="shared" si="82"/>
        <v>12</v>
      </c>
      <c r="F128" s="79">
        <f t="shared" si="83"/>
        <v>821.83</v>
      </c>
      <c r="G128" s="79">
        <f t="shared" si="83"/>
        <v>821.83</v>
      </c>
      <c r="H128" s="79">
        <f t="shared" si="83"/>
        <v>821.83</v>
      </c>
      <c r="I128" s="79">
        <f t="shared" si="83"/>
        <v>821.83</v>
      </c>
      <c r="J128" s="79">
        <f t="shared" si="83"/>
        <v>821.83</v>
      </c>
      <c r="K128" s="79">
        <f t="shared" si="83"/>
        <v>821.83</v>
      </c>
      <c r="L128" s="79">
        <f t="shared" si="83"/>
        <v>821.83</v>
      </c>
      <c r="M128" s="79">
        <f t="shared" si="83"/>
        <v>821.83</v>
      </c>
      <c r="N128" s="79">
        <f t="shared" si="83"/>
        <v>821.83</v>
      </c>
      <c r="O128" s="79">
        <f t="shared" si="83"/>
        <v>821.83</v>
      </c>
      <c r="P128" s="79">
        <f t="shared" si="83"/>
        <v>821.83</v>
      </c>
      <c r="Q128" s="79">
        <f t="shared" si="83"/>
        <v>821.83</v>
      </c>
      <c r="R128" s="71">
        <v>9862</v>
      </c>
      <c r="S128" s="139">
        <f t="shared" si="84"/>
        <v>821.83</v>
      </c>
      <c r="T128" s="139">
        <f>SUM($F128:G128)</f>
        <v>1643.66</v>
      </c>
      <c r="U128" s="139">
        <f>SUM($F128:H128)</f>
        <v>2465.4900000000002</v>
      </c>
      <c r="V128" s="139">
        <f>SUM($F128:I128)</f>
        <v>3287.32</v>
      </c>
      <c r="W128" s="139">
        <f>SUM($F128:J128)</f>
        <v>4109.1500000000005</v>
      </c>
      <c r="X128" s="139">
        <f>SUM($F128:K128)</f>
        <v>4930.9800000000005</v>
      </c>
      <c r="Y128" s="139">
        <f>SUM($F128:L128)</f>
        <v>5752.81</v>
      </c>
      <c r="Z128" s="139">
        <f>SUM($F128:M128)</f>
        <v>6574.64</v>
      </c>
      <c r="AA128" s="139">
        <f>SUM($F128:N128)</f>
        <v>7396.47</v>
      </c>
      <c r="AB128" s="139">
        <f>SUM($F128:O128)</f>
        <v>8218.3000000000011</v>
      </c>
      <c r="AC128" s="139">
        <f>SUM($F128:P128)</f>
        <v>9040.130000000001</v>
      </c>
      <c r="AD128" s="139">
        <f>SUM($F128:Q128)</f>
        <v>9861.9600000000009</v>
      </c>
    </row>
    <row r="129" spans="1:30" x14ac:dyDescent="0.25">
      <c r="A129" s="106">
        <v>124</v>
      </c>
      <c r="C129" s="1" t="s">
        <v>85</v>
      </c>
      <c r="E129" s="100">
        <v>4</v>
      </c>
      <c r="F129" s="79">
        <f t="shared" si="83"/>
        <v>855.75</v>
      </c>
      <c r="G129" s="71">
        <v>0</v>
      </c>
      <c r="H129" s="71">
        <v>0</v>
      </c>
      <c r="I129" s="79">
        <f t="shared" si="83"/>
        <v>855.75</v>
      </c>
      <c r="J129" s="71">
        <v>0</v>
      </c>
      <c r="K129" s="71">
        <v>0</v>
      </c>
      <c r="L129" s="79">
        <f t="shared" si="83"/>
        <v>855.75</v>
      </c>
      <c r="M129" s="71">
        <v>0</v>
      </c>
      <c r="N129" s="71">
        <v>0</v>
      </c>
      <c r="O129" s="79">
        <f t="shared" si="83"/>
        <v>855.75</v>
      </c>
      <c r="P129" s="71">
        <v>0</v>
      </c>
      <c r="Q129" s="71">
        <v>0</v>
      </c>
      <c r="R129" s="71">
        <v>3423</v>
      </c>
      <c r="S129" s="139">
        <f t="shared" si="84"/>
        <v>855.75</v>
      </c>
      <c r="T129" s="139">
        <f>SUM($F129:G129)</f>
        <v>855.75</v>
      </c>
      <c r="U129" s="139">
        <f>SUM($F129:H129)</f>
        <v>855.75</v>
      </c>
      <c r="V129" s="139">
        <f>SUM($F129:I129)</f>
        <v>1711.5</v>
      </c>
      <c r="W129" s="139">
        <f>SUM($F129:J129)</f>
        <v>1711.5</v>
      </c>
      <c r="X129" s="139">
        <f>SUM($F129:K129)</f>
        <v>1711.5</v>
      </c>
      <c r="Y129" s="139">
        <f>SUM($F129:L129)</f>
        <v>2567.25</v>
      </c>
      <c r="Z129" s="139">
        <f>SUM($F129:M129)</f>
        <v>2567.25</v>
      </c>
      <c r="AA129" s="139">
        <f>SUM($F129:N129)</f>
        <v>2567.25</v>
      </c>
      <c r="AB129" s="139">
        <f>SUM($F129:O129)</f>
        <v>3423</v>
      </c>
      <c r="AC129" s="139">
        <f>SUM($F129:P129)</f>
        <v>3423</v>
      </c>
      <c r="AD129" s="139">
        <f>SUM($F129:Q129)</f>
        <v>3423</v>
      </c>
    </row>
    <row r="130" spans="1:30" x14ac:dyDescent="0.25">
      <c r="A130" s="106">
        <v>125</v>
      </c>
      <c r="C130" s="1" t="s">
        <v>86</v>
      </c>
      <c r="E130" s="101">
        <f t="shared" ref="E130" si="85">+E$16</f>
        <v>12</v>
      </c>
      <c r="F130" s="79">
        <f t="shared" si="83"/>
        <v>50</v>
      </c>
      <c r="G130" s="79">
        <f t="shared" si="83"/>
        <v>50</v>
      </c>
      <c r="H130" s="79">
        <f t="shared" si="83"/>
        <v>50</v>
      </c>
      <c r="I130" s="79">
        <f t="shared" si="83"/>
        <v>50</v>
      </c>
      <c r="J130" s="79">
        <f t="shared" si="83"/>
        <v>50</v>
      </c>
      <c r="K130" s="79">
        <f t="shared" si="83"/>
        <v>50</v>
      </c>
      <c r="L130" s="79">
        <f t="shared" si="83"/>
        <v>50</v>
      </c>
      <c r="M130" s="79">
        <f t="shared" si="83"/>
        <v>50</v>
      </c>
      <c r="N130" s="79">
        <f t="shared" si="83"/>
        <v>50</v>
      </c>
      <c r="O130" s="79">
        <f t="shared" si="83"/>
        <v>50</v>
      </c>
      <c r="P130" s="79">
        <f t="shared" si="83"/>
        <v>50</v>
      </c>
      <c r="Q130" s="79">
        <f t="shared" si="83"/>
        <v>50</v>
      </c>
      <c r="R130" s="71">
        <v>600</v>
      </c>
      <c r="S130" s="139">
        <f t="shared" si="84"/>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3"/>
        <v>0</v>
      </c>
      <c r="G131" s="71">
        <v>0</v>
      </c>
      <c r="H131" s="71">
        <v>0</v>
      </c>
      <c r="I131" s="71">
        <v>0</v>
      </c>
      <c r="J131" s="71">
        <v>0</v>
      </c>
      <c r="K131" s="71">
        <v>0</v>
      </c>
      <c r="L131" s="79">
        <f t="shared" si="83"/>
        <v>0</v>
      </c>
      <c r="M131" s="71">
        <v>0</v>
      </c>
      <c r="N131" s="71">
        <v>0</v>
      </c>
      <c r="O131" s="71">
        <v>0</v>
      </c>
      <c r="P131" s="71">
        <v>0</v>
      </c>
      <c r="Q131" s="71">
        <v>0</v>
      </c>
      <c r="R131" s="71">
        <v>0</v>
      </c>
      <c r="S131" s="139">
        <f t="shared" si="84"/>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Q132" si="86">SUM(F122:F131)</f>
        <v>6989.5</v>
      </c>
      <c r="G132" s="80">
        <f t="shared" si="86"/>
        <v>6133.75</v>
      </c>
      <c r="H132" s="80">
        <f t="shared" si="86"/>
        <v>6133.75</v>
      </c>
      <c r="I132" s="80">
        <f t="shared" si="86"/>
        <v>6989.5</v>
      </c>
      <c r="J132" s="80">
        <f t="shared" si="86"/>
        <v>6133.75</v>
      </c>
      <c r="K132" s="80">
        <f t="shared" si="86"/>
        <v>6133.75</v>
      </c>
      <c r="L132" s="80">
        <f t="shared" si="86"/>
        <v>6989.5</v>
      </c>
      <c r="M132" s="80">
        <f t="shared" si="86"/>
        <v>6133.75</v>
      </c>
      <c r="N132" s="80">
        <f t="shared" si="86"/>
        <v>6133.75</v>
      </c>
      <c r="O132" s="80">
        <f t="shared" si="86"/>
        <v>6989.5</v>
      </c>
      <c r="P132" s="80">
        <f t="shared" si="86"/>
        <v>6133.75</v>
      </c>
      <c r="Q132" s="80">
        <f t="shared" si="86"/>
        <v>6133.75</v>
      </c>
      <c r="R132" s="80">
        <f>SUM(R122:R131)</f>
        <v>77028</v>
      </c>
      <c r="S132" s="149">
        <f t="shared" ref="S132:AD132" si="87">SUM(S122:S131)</f>
        <v>6989.5</v>
      </c>
      <c r="T132" s="149">
        <f t="shared" si="87"/>
        <v>13123.25</v>
      </c>
      <c r="U132" s="149">
        <f t="shared" si="87"/>
        <v>19257</v>
      </c>
      <c r="V132" s="149">
        <f t="shared" si="87"/>
        <v>26246.5</v>
      </c>
      <c r="W132" s="149">
        <f t="shared" si="87"/>
        <v>32380.25</v>
      </c>
      <c r="X132" s="149">
        <f t="shared" si="87"/>
        <v>38514</v>
      </c>
      <c r="Y132" s="149">
        <f t="shared" si="87"/>
        <v>45503.5</v>
      </c>
      <c r="Z132" s="149">
        <f t="shared" si="87"/>
        <v>51637.25</v>
      </c>
      <c r="AA132" s="149">
        <f t="shared" si="87"/>
        <v>57771</v>
      </c>
      <c r="AB132" s="149">
        <f t="shared" si="87"/>
        <v>64760.5</v>
      </c>
      <c r="AC132" s="149">
        <f t="shared" si="87"/>
        <v>70894.25</v>
      </c>
      <c r="AD132" s="149">
        <f t="shared" si="87"/>
        <v>77028</v>
      </c>
    </row>
    <row r="133" spans="1:30" x14ac:dyDescent="0.25">
      <c r="A133" s="106">
        <v>128</v>
      </c>
      <c r="B133" s="33" t="s">
        <v>88</v>
      </c>
      <c r="C133" s="33"/>
      <c r="D133" s="44" t="str">
        <f>0*100%&amp;"% Cost of Living"</f>
        <v>0% Cost of Living</v>
      </c>
      <c r="E133" s="96"/>
      <c r="F133" s="80">
        <f t="shared" ref="F133:Q133" si="88">+F91+F96+F101+F110+F119+F132</f>
        <v>28033.480000000003</v>
      </c>
      <c r="G133" s="80">
        <f t="shared" si="88"/>
        <v>27177.730000000003</v>
      </c>
      <c r="H133" s="80">
        <f t="shared" si="88"/>
        <v>27177.730000000003</v>
      </c>
      <c r="I133" s="80">
        <f t="shared" si="88"/>
        <v>28033.480000000003</v>
      </c>
      <c r="J133" s="80">
        <f t="shared" si="88"/>
        <v>27083.980000000003</v>
      </c>
      <c r="K133" s="80">
        <f t="shared" si="88"/>
        <v>27083.980000000003</v>
      </c>
      <c r="L133" s="80">
        <f t="shared" si="88"/>
        <v>27268.43</v>
      </c>
      <c r="M133" s="80">
        <f t="shared" si="88"/>
        <v>26412.68</v>
      </c>
      <c r="N133" s="80">
        <f t="shared" si="88"/>
        <v>27271.730000000003</v>
      </c>
      <c r="O133" s="80">
        <f t="shared" si="88"/>
        <v>28033.480000000003</v>
      </c>
      <c r="P133" s="80">
        <f t="shared" si="88"/>
        <v>27177.730000000003</v>
      </c>
      <c r="Q133" s="80">
        <f t="shared" si="88"/>
        <v>27083.730000000003</v>
      </c>
      <c r="R133" s="80">
        <f>+R91+R96+R101+R110+R119+R132</f>
        <v>327838</v>
      </c>
      <c r="S133" s="149">
        <f t="shared" ref="S133:AD133" si="89">+S91+S96+S101+S110+S119+S132</f>
        <v>28033.480000000003</v>
      </c>
      <c r="T133" s="149">
        <f t="shared" si="89"/>
        <v>55211.210000000006</v>
      </c>
      <c r="U133" s="149">
        <f t="shared" si="89"/>
        <v>82388.939999999988</v>
      </c>
      <c r="V133" s="149">
        <f t="shared" si="89"/>
        <v>110422.42000000001</v>
      </c>
      <c r="W133" s="149">
        <f t="shared" si="89"/>
        <v>137506.4</v>
      </c>
      <c r="X133" s="149">
        <f t="shared" si="89"/>
        <v>164590.37999999998</v>
      </c>
      <c r="Y133" s="149">
        <f t="shared" si="89"/>
        <v>191858.81</v>
      </c>
      <c r="Z133" s="149">
        <f t="shared" si="89"/>
        <v>218271.49000000002</v>
      </c>
      <c r="AA133" s="149">
        <f t="shared" si="89"/>
        <v>245543.22</v>
      </c>
      <c r="AB133" s="149">
        <f t="shared" si="89"/>
        <v>273576.69999999995</v>
      </c>
      <c r="AC133" s="149">
        <f t="shared" si="89"/>
        <v>300754.43</v>
      </c>
      <c r="AD133" s="149">
        <f t="shared" si="89"/>
        <v>327838.15999999997</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90">+E$16</f>
        <v>12</v>
      </c>
      <c r="F137" s="79">
        <f>ROUND(+$R137/$E137,2)</f>
        <v>1500</v>
      </c>
      <c r="G137" s="79">
        <f t="shared" ref="G137:Q142" si="91">ROUND(+$R137/$E137,2)</f>
        <v>1500</v>
      </c>
      <c r="H137" s="79">
        <f t="shared" si="91"/>
        <v>1500</v>
      </c>
      <c r="I137" s="79">
        <f t="shared" si="91"/>
        <v>1500</v>
      </c>
      <c r="J137" s="79">
        <f t="shared" si="91"/>
        <v>1500</v>
      </c>
      <c r="K137" s="79">
        <f t="shared" si="91"/>
        <v>1500</v>
      </c>
      <c r="L137" s="79">
        <f t="shared" si="91"/>
        <v>1500</v>
      </c>
      <c r="M137" s="79">
        <f t="shared" si="91"/>
        <v>1500</v>
      </c>
      <c r="N137" s="79">
        <f t="shared" si="91"/>
        <v>1500</v>
      </c>
      <c r="O137" s="79">
        <f t="shared" si="91"/>
        <v>1500</v>
      </c>
      <c r="P137" s="79">
        <f t="shared" si="91"/>
        <v>1500</v>
      </c>
      <c r="Q137" s="79">
        <f t="shared" si="91"/>
        <v>1500</v>
      </c>
      <c r="R137" s="71">
        <v>18000</v>
      </c>
      <c r="S137" s="139">
        <f t="shared" ref="S137:S143" si="92">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90"/>
        <v>12</v>
      </c>
      <c r="F138" s="79">
        <f>ROUND(+$R138/$E138,2)</f>
        <v>838</v>
      </c>
      <c r="G138" s="79">
        <f t="shared" si="91"/>
        <v>838</v>
      </c>
      <c r="H138" s="79">
        <f t="shared" si="91"/>
        <v>838</v>
      </c>
      <c r="I138" s="79">
        <f t="shared" si="91"/>
        <v>838</v>
      </c>
      <c r="J138" s="79">
        <f t="shared" si="91"/>
        <v>838</v>
      </c>
      <c r="K138" s="79">
        <f t="shared" si="91"/>
        <v>838</v>
      </c>
      <c r="L138" s="79">
        <f t="shared" si="91"/>
        <v>838</v>
      </c>
      <c r="M138" s="79">
        <f t="shared" si="91"/>
        <v>838</v>
      </c>
      <c r="N138" s="79">
        <f t="shared" si="91"/>
        <v>838</v>
      </c>
      <c r="O138" s="79">
        <f t="shared" si="91"/>
        <v>838</v>
      </c>
      <c r="P138" s="79">
        <f t="shared" si="91"/>
        <v>838</v>
      </c>
      <c r="Q138" s="79">
        <f t="shared" si="91"/>
        <v>838</v>
      </c>
      <c r="R138" s="71">
        <v>10056</v>
      </c>
      <c r="S138" s="139">
        <f t="shared" si="92"/>
        <v>838</v>
      </c>
      <c r="T138" s="139">
        <f>SUM($F138:G138)</f>
        <v>1676</v>
      </c>
      <c r="U138" s="139">
        <f>SUM($F138:H138)</f>
        <v>2514</v>
      </c>
      <c r="V138" s="139">
        <f>SUM($F138:I138)</f>
        <v>3352</v>
      </c>
      <c r="W138" s="139">
        <f>SUM($F138:J138)</f>
        <v>4190</v>
      </c>
      <c r="X138" s="139">
        <f>SUM($F138:K138)</f>
        <v>5028</v>
      </c>
      <c r="Y138" s="139">
        <f>SUM($F138:L138)</f>
        <v>5866</v>
      </c>
      <c r="Z138" s="139">
        <f>SUM($F138:M138)</f>
        <v>6704</v>
      </c>
      <c r="AA138" s="139">
        <f>SUM($F138:N138)</f>
        <v>7542</v>
      </c>
      <c r="AB138" s="139">
        <f>SUM($F138:O138)</f>
        <v>8380</v>
      </c>
      <c r="AC138" s="139">
        <f>SUM($F138:P138)</f>
        <v>9218</v>
      </c>
      <c r="AD138" s="139">
        <f>SUM($F138:Q138)</f>
        <v>10056</v>
      </c>
    </row>
    <row r="139" spans="1:30" x14ac:dyDescent="0.25">
      <c r="A139" s="106">
        <v>134</v>
      </c>
      <c r="C139" s="1" t="s">
        <v>94</v>
      </c>
      <c r="E139" s="101">
        <f t="shared" si="90"/>
        <v>12</v>
      </c>
      <c r="F139" s="79">
        <f>ROUND(+$R139/$E139,2)</f>
        <v>340</v>
      </c>
      <c r="G139" s="79">
        <f t="shared" si="91"/>
        <v>340</v>
      </c>
      <c r="H139" s="79">
        <f t="shared" si="91"/>
        <v>340</v>
      </c>
      <c r="I139" s="79">
        <f t="shared" si="91"/>
        <v>340</v>
      </c>
      <c r="J139" s="79">
        <f t="shared" si="91"/>
        <v>340</v>
      </c>
      <c r="K139" s="79">
        <f t="shared" si="91"/>
        <v>340</v>
      </c>
      <c r="L139" s="79">
        <f t="shared" si="91"/>
        <v>340</v>
      </c>
      <c r="M139" s="79">
        <f t="shared" si="91"/>
        <v>340</v>
      </c>
      <c r="N139" s="79">
        <f t="shared" si="91"/>
        <v>340</v>
      </c>
      <c r="O139" s="79">
        <f t="shared" si="91"/>
        <v>340</v>
      </c>
      <c r="P139" s="79">
        <f t="shared" si="91"/>
        <v>340</v>
      </c>
      <c r="Q139" s="79">
        <f t="shared" si="91"/>
        <v>340</v>
      </c>
      <c r="R139" s="71">
        <v>4080</v>
      </c>
      <c r="S139" s="139">
        <f t="shared" si="92"/>
        <v>340</v>
      </c>
      <c r="T139" s="139">
        <f>SUM($F139:G139)</f>
        <v>680</v>
      </c>
      <c r="U139" s="139">
        <f>SUM($F139:H139)</f>
        <v>1020</v>
      </c>
      <c r="V139" s="139">
        <f>SUM($F139:I139)</f>
        <v>1360</v>
      </c>
      <c r="W139" s="139">
        <f>SUM($F139:J139)</f>
        <v>1700</v>
      </c>
      <c r="X139" s="139">
        <f>SUM($F139:K139)</f>
        <v>2040</v>
      </c>
      <c r="Y139" s="139">
        <f>SUM($F139:L139)</f>
        <v>2380</v>
      </c>
      <c r="Z139" s="139">
        <f>SUM($F139:M139)</f>
        <v>2720</v>
      </c>
      <c r="AA139" s="139">
        <f>SUM($F139:N139)</f>
        <v>3060</v>
      </c>
      <c r="AB139" s="139">
        <f>SUM($F139:O139)</f>
        <v>3400</v>
      </c>
      <c r="AC139" s="139">
        <f>SUM($F139:P139)</f>
        <v>3740</v>
      </c>
      <c r="AD139" s="139">
        <f>SUM($F139:Q139)</f>
        <v>4080</v>
      </c>
    </row>
    <row r="140" spans="1:30" x14ac:dyDescent="0.25">
      <c r="A140" s="106">
        <v>135</v>
      </c>
      <c r="C140" s="1" t="s">
        <v>95</v>
      </c>
      <c r="E140" s="100">
        <v>4</v>
      </c>
      <c r="F140" s="79">
        <f t="shared" ref="F140:O140" si="93">ROUND(+$R140/$E140,2)</f>
        <v>200</v>
      </c>
      <c r="G140" s="71">
        <v>0</v>
      </c>
      <c r="H140" s="71">
        <v>0</v>
      </c>
      <c r="I140" s="79">
        <f t="shared" si="93"/>
        <v>200</v>
      </c>
      <c r="J140" s="71">
        <v>0</v>
      </c>
      <c r="K140" s="71">
        <v>0</v>
      </c>
      <c r="L140" s="79">
        <f t="shared" si="93"/>
        <v>200</v>
      </c>
      <c r="M140" s="71">
        <v>0</v>
      </c>
      <c r="N140" s="71">
        <v>0</v>
      </c>
      <c r="O140" s="79">
        <f t="shared" si="93"/>
        <v>200</v>
      </c>
      <c r="P140" s="71">
        <v>0</v>
      </c>
      <c r="Q140" s="71">
        <v>0</v>
      </c>
      <c r="R140" s="71">
        <v>800</v>
      </c>
      <c r="S140" s="139">
        <f t="shared" si="92"/>
        <v>200</v>
      </c>
      <c r="T140" s="139">
        <f>SUM($F140:G140)</f>
        <v>200</v>
      </c>
      <c r="U140" s="139">
        <f>SUM($F140:H140)</f>
        <v>200</v>
      </c>
      <c r="V140" s="139">
        <f>SUM($F140:I140)</f>
        <v>400</v>
      </c>
      <c r="W140" s="139">
        <f>SUM($F140:J140)</f>
        <v>400</v>
      </c>
      <c r="X140" s="139">
        <f>SUM($F140:K140)</f>
        <v>400</v>
      </c>
      <c r="Y140" s="139">
        <f>SUM($F140:L140)</f>
        <v>600</v>
      </c>
      <c r="Z140" s="139">
        <f>SUM($F140:M140)</f>
        <v>600</v>
      </c>
      <c r="AA140" s="139">
        <f>SUM($F140:N140)</f>
        <v>600</v>
      </c>
      <c r="AB140" s="139">
        <f>SUM($F140:O140)</f>
        <v>800</v>
      </c>
      <c r="AC140" s="139">
        <f>SUM($F140:P140)</f>
        <v>800</v>
      </c>
      <c r="AD140" s="139">
        <f>SUM($F140:Q140)</f>
        <v>800</v>
      </c>
    </row>
    <row r="141" spans="1:30" x14ac:dyDescent="0.25">
      <c r="A141" s="106">
        <v>136</v>
      </c>
      <c r="C141" s="1" t="s">
        <v>96</v>
      </c>
      <c r="E141" s="101">
        <f t="shared" si="90"/>
        <v>12</v>
      </c>
      <c r="F141" s="79">
        <f>ROUND(+$R141/$E141,2)</f>
        <v>275</v>
      </c>
      <c r="G141" s="79">
        <f t="shared" si="91"/>
        <v>275</v>
      </c>
      <c r="H141" s="79">
        <f t="shared" si="91"/>
        <v>275</v>
      </c>
      <c r="I141" s="79">
        <f t="shared" si="91"/>
        <v>275</v>
      </c>
      <c r="J141" s="79">
        <f t="shared" si="91"/>
        <v>275</v>
      </c>
      <c r="K141" s="79">
        <f t="shared" si="91"/>
        <v>275</v>
      </c>
      <c r="L141" s="79">
        <f t="shared" si="91"/>
        <v>275</v>
      </c>
      <c r="M141" s="79">
        <f t="shared" si="91"/>
        <v>275</v>
      </c>
      <c r="N141" s="79">
        <f t="shared" si="91"/>
        <v>275</v>
      </c>
      <c r="O141" s="79">
        <f t="shared" si="91"/>
        <v>275</v>
      </c>
      <c r="P141" s="79">
        <f t="shared" si="91"/>
        <v>275</v>
      </c>
      <c r="Q141" s="79">
        <f t="shared" si="91"/>
        <v>275</v>
      </c>
      <c r="R141" s="71">
        <v>3300</v>
      </c>
      <c r="S141" s="139">
        <f t="shared" si="92"/>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90"/>
        <v>12</v>
      </c>
      <c r="F142" s="79">
        <f>ROUND(+$R142/$E142,2)</f>
        <v>225</v>
      </c>
      <c r="G142" s="79">
        <f t="shared" si="91"/>
        <v>225</v>
      </c>
      <c r="H142" s="79">
        <f t="shared" si="91"/>
        <v>225</v>
      </c>
      <c r="I142" s="79">
        <f t="shared" si="91"/>
        <v>225</v>
      </c>
      <c r="J142" s="79">
        <f t="shared" si="91"/>
        <v>225</v>
      </c>
      <c r="K142" s="79">
        <f t="shared" si="91"/>
        <v>225</v>
      </c>
      <c r="L142" s="79">
        <f t="shared" si="91"/>
        <v>225</v>
      </c>
      <c r="M142" s="79">
        <f t="shared" si="91"/>
        <v>225</v>
      </c>
      <c r="N142" s="79">
        <f t="shared" si="91"/>
        <v>225</v>
      </c>
      <c r="O142" s="79">
        <f t="shared" si="91"/>
        <v>225</v>
      </c>
      <c r="P142" s="79">
        <f t="shared" si="91"/>
        <v>225</v>
      </c>
      <c r="Q142" s="79">
        <f t="shared" si="91"/>
        <v>225</v>
      </c>
      <c r="R142" s="71">
        <v>2700</v>
      </c>
      <c r="S142" s="139">
        <f t="shared" si="92"/>
        <v>225</v>
      </c>
      <c r="T142" s="139">
        <f>SUM($F142:G142)</f>
        <v>450</v>
      </c>
      <c r="U142" s="139">
        <f>SUM($F142:H142)</f>
        <v>675</v>
      </c>
      <c r="V142" s="139">
        <f>SUM($F142:I142)</f>
        <v>900</v>
      </c>
      <c r="W142" s="139">
        <f>SUM($F142:J142)</f>
        <v>1125</v>
      </c>
      <c r="X142" s="139">
        <f>SUM($F142:K142)</f>
        <v>1350</v>
      </c>
      <c r="Y142" s="139">
        <f>SUM($F142:L142)</f>
        <v>1575</v>
      </c>
      <c r="Z142" s="139">
        <f>SUM($F142:M142)</f>
        <v>1800</v>
      </c>
      <c r="AA142" s="139">
        <f>SUM($F142:N142)</f>
        <v>2025</v>
      </c>
      <c r="AB142" s="139">
        <f>SUM($F142:O142)</f>
        <v>2250</v>
      </c>
      <c r="AC142" s="139">
        <f>SUM($F142:P142)</f>
        <v>2475</v>
      </c>
      <c r="AD142" s="139">
        <f>SUM($F142:Q142)</f>
        <v>2700</v>
      </c>
    </row>
    <row r="143" spans="1:30" x14ac:dyDescent="0.25">
      <c r="A143" s="106">
        <v>138</v>
      </c>
      <c r="C143" s="1" t="s">
        <v>98</v>
      </c>
      <c r="E143" s="100">
        <v>1</v>
      </c>
      <c r="F143" s="79">
        <f>ROUND(+$R143/$E143,2)</f>
        <v>3300</v>
      </c>
      <c r="G143" s="71">
        <v>0</v>
      </c>
      <c r="H143" s="71">
        <v>0</v>
      </c>
      <c r="I143" s="71">
        <v>0</v>
      </c>
      <c r="J143" s="71">
        <v>0</v>
      </c>
      <c r="K143" s="71">
        <v>0</v>
      </c>
      <c r="L143" s="71">
        <v>0</v>
      </c>
      <c r="M143" s="71">
        <v>0</v>
      </c>
      <c r="N143" s="71">
        <v>0</v>
      </c>
      <c r="O143" s="71">
        <v>0</v>
      </c>
      <c r="P143" s="71">
        <v>0</v>
      </c>
      <c r="Q143" s="71">
        <v>0</v>
      </c>
      <c r="R143" s="71">
        <v>3300</v>
      </c>
      <c r="S143" s="139">
        <f t="shared" si="92"/>
        <v>3300</v>
      </c>
      <c r="T143" s="139">
        <f>SUM($F143:G143)</f>
        <v>3300</v>
      </c>
      <c r="U143" s="139">
        <f>SUM($F143:H143)</f>
        <v>3300</v>
      </c>
      <c r="V143" s="139">
        <f>SUM($F143:I143)</f>
        <v>3300</v>
      </c>
      <c r="W143" s="139">
        <f>SUM($F143:J143)</f>
        <v>3300</v>
      </c>
      <c r="X143" s="139">
        <f>SUM($F143:K143)</f>
        <v>3300</v>
      </c>
      <c r="Y143" s="139">
        <f>SUM($F143:L143)</f>
        <v>3300</v>
      </c>
      <c r="Z143" s="139">
        <f>SUM($F143:M143)</f>
        <v>3300</v>
      </c>
      <c r="AA143" s="139">
        <f>SUM($F143:N143)</f>
        <v>3300</v>
      </c>
      <c r="AB143" s="139">
        <f>SUM($F143:O143)</f>
        <v>3300</v>
      </c>
      <c r="AC143" s="139">
        <f>SUM($F143:P143)</f>
        <v>3300</v>
      </c>
      <c r="AD143" s="139">
        <f>SUM($F143:Q143)</f>
        <v>3300</v>
      </c>
    </row>
    <row r="144" spans="1:30" s="5" customFormat="1" x14ac:dyDescent="0.25">
      <c r="A144" s="106">
        <v>139</v>
      </c>
      <c r="B144" s="36" t="s">
        <v>99</v>
      </c>
      <c r="C144" s="36"/>
      <c r="D144" s="36"/>
      <c r="E144" s="97"/>
      <c r="F144" s="81">
        <f t="shared" ref="F144:Q144" si="94">SUM(F137:F143)</f>
        <v>6678</v>
      </c>
      <c r="G144" s="81">
        <f t="shared" si="94"/>
        <v>3178</v>
      </c>
      <c r="H144" s="81">
        <f t="shared" si="94"/>
        <v>3178</v>
      </c>
      <c r="I144" s="81">
        <f t="shared" si="94"/>
        <v>3378</v>
      </c>
      <c r="J144" s="81">
        <f t="shared" si="94"/>
        <v>3178</v>
      </c>
      <c r="K144" s="81">
        <f t="shared" si="94"/>
        <v>3178</v>
      </c>
      <c r="L144" s="81">
        <f t="shared" si="94"/>
        <v>3378</v>
      </c>
      <c r="M144" s="81">
        <f t="shared" si="94"/>
        <v>3178</v>
      </c>
      <c r="N144" s="81">
        <f t="shared" si="94"/>
        <v>3178</v>
      </c>
      <c r="O144" s="81">
        <f t="shared" si="94"/>
        <v>3378</v>
      </c>
      <c r="P144" s="81">
        <f t="shared" si="94"/>
        <v>3178</v>
      </c>
      <c r="Q144" s="81">
        <f t="shared" si="94"/>
        <v>3178</v>
      </c>
      <c r="R144" s="81">
        <f>SUM(R137:R143)</f>
        <v>42236</v>
      </c>
      <c r="S144" s="150">
        <f t="shared" ref="S144:AD144" si="95">SUM(S137:S143)</f>
        <v>6678</v>
      </c>
      <c r="T144" s="150">
        <f t="shared" si="95"/>
        <v>9856</v>
      </c>
      <c r="U144" s="150">
        <f t="shared" si="95"/>
        <v>13034</v>
      </c>
      <c r="V144" s="150">
        <f t="shared" si="95"/>
        <v>16412</v>
      </c>
      <c r="W144" s="150">
        <f t="shared" si="95"/>
        <v>19590</v>
      </c>
      <c r="X144" s="150">
        <f t="shared" si="95"/>
        <v>22768</v>
      </c>
      <c r="Y144" s="150">
        <f t="shared" si="95"/>
        <v>26146</v>
      </c>
      <c r="Z144" s="150">
        <f t="shared" si="95"/>
        <v>29324</v>
      </c>
      <c r="AA144" s="150">
        <f t="shared" si="95"/>
        <v>32502</v>
      </c>
      <c r="AB144" s="150">
        <f t="shared" si="95"/>
        <v>35880</v>
      </c>
      <c r="AC144" s="150">
        <f t="shared" si="95"/>
        <v>39058</v>
      </c>
      <c r="AD144" s="150">
        <f t="shared" si="95"/>
        <v>42236</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6">ROUND(+$R147/$E147,2)</f>
        <v>3025</v>
      </c>
      <c r="G147" s="71">
        <v>0</v>
      </c>
      <c r="H147" s="71">
        <v>0</v>
      </c>
      <c r="I147" s="79">
        <f t="shared" si="96"/>
        <v>3025</v>
      </c>
      <c r="J147" s="71">
        <v>0</v>
      </c>
      <c r="K147" s="71">
        <v>0</v>
      </c>
      <c r="L147" s="79">
        <f t="shared" si="96"/>
        <v>3025</v>
      </c>
      <c r="M147" s="71">
        <v>0</v>
      </c>
      <c r="N147" s="71">
        <v>0</v>
      </c>
      <c r="O147" s="79">
        <f t="shared" si="96"/>
        <v>3025</v>
      </c>
      <c r="P147" s="71">
        <v>0</v>
      </c>
      <c r="Q147" s="71">
        <v>0</v>
      </c>
      <c r="R147" s="71">
        <v>12100</v>
      </c>
      <c r="S147" s="139">
        <f t="shared" ref="S147:S154" si="97">SUM(F147)</f>
        <v>3025</v>
      </c>
      <c r="T147" s="139">
        <f>SUM($F147:G147)</f>
        <v>3025</v>
      </c>
      <c r="U147" s="139">
        <f>SUM($F147:H147)</f>
        <v>3025</v>
      </c>
      <c r="V147" s="139">
        <f>SUM($F147:I147)</f>
        <v>6050</v>
      </c>
      <c r="W147" s="139">
        <f>SUM($F147:J147)</f>
        <v>6050</v>
      </c>
      <c r="X147" s="139">
        <f>SUM($F147:K147)</f>
        <v>6050</v>
      </c>
      <c r="Y147" s="139">
        <f>SUM($F147:L147)</f>
        <v>9075</v>
      </c>
      <c r="Z147" s="139">
        <f>SUM($F147:M147)</f>
        <v>9075</v>
      </c>
      <c r="AA147" s="139">
        <f>SUM($F147:N147)</f>
        <v>9075</v>
      </c>
      <c r="AB147" s="139">
        <f>SUM($F147:O147)</f>
        <v>12100</v>
      </c>
      <c r="AC147" s="139">
        <f>SUM($F147:P147)</f>
        <v>12100</v>
      </c>
      <c r="AD147" s="139">
        <f>SUM($F147:Q147)</f>
        <v>12100</v>
      </c>
    </row>
    <row r="148" spans="1:30" x14ac:dyDescent="0.25">
      <c r="A148" s="106">
        <v>143</v>
      </c>
      <c r="C148" s="1" t="s">
        <v>102</v>
      </c>
      <c r="E148" s="100">
        <v>5</v>
      </c>
      <c r="F148" s="79">
        <f t="shared" si="96"/>
        <v>1000</v>
      </c>
      <c r="G148" s="79">
        <f t="shared" si="96"/>
        <v>1000</v>
      </c>
      <c r="H148" s="79">
        <f t="shared" si="96"/>
        <v>1000</v>
      </c>
      <c r="I148" s="71">
        <v>0</v>
      </c>
      <c r="J148" s="71">
        <v>0</v>
      </c>
      <c r="K148" s="71">
        <v>0</v>
      </c>
      <c r="L148" s="71">
        <v>0</v>
      </c>
      <c r="M148" s="71">
        <v>0</v>
      </c>
      <c r="N148" s="71">
        <v>0</v>
      </c>
      <c r="O148" s="71">
        <v>0</v>
      </c>
      <c r="P148" s="79">
        <f t="shared" si="96"/>
        <v>1000</v>
      </c>
      <c r="Q148" s="79">
        <f t="shared" si="96"/>
        <v>1000</v>
      </c>
      <c r="R148" s="71">
        <v>5000</v>
      </c>
      <c r="S148" s="139">
        <f t="shared" si="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8">+E$16</f>
        <v>12</v>
      </c>
      <c r="F149" s="79">
        <f t="shared" si="96"/>
        <v>208.33</v>
      </c>
      <c r="G149" s="79">
        <f t="shared" si="96"/>
        <v>208.33</v>
      </c>
      <c r="H149" s="79">
        <f t="shared" si="96"/>
        <v>208.33</v>
      </c>
      <c r="I149" s="79">
        <f t="shared" si="96"/>
        <v>208.33</v>
      </c>
      <c r="J149" s="79">
        <f t="shared" si="96"/>
        <v>208.33</v>
      </c>
      <c r="K149" s="79">
        <f t="shared" si="96"/>
        <v>208.33</v>
      </c>
      <c r="L149" s="79">
        <f t="shared" si="96"/>
        <v>208.33</v>
      </c>
      <c r="M149" s="79">
        <f t="shared" si="96"/>
        <v>208.33</v>
      </c>
      <c r="N149" s="79">
        <f t="shared" si="96"/>
        <v>208.33</v>
      </c>
      <c r="O149" s="79">
        <f t="shared" si="96"/>
        <v>208.33</v>
      </c>
      <c r="P149" s="79">
        <f t="shared" si="96"/>
        <v>208.33</v>
      </c>
      <c r="Q149" s="79">
        <f t="shared" si="96"/>
        <v>208.33</v>
      </c>
      <c r="R149" s="71">
        <v>2500</v>
      </c>
      <c r="S149" s="139">
        <f t="shared" si="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3" t="s">
        <v>129</v>
      </c>
      <c r="D150" s="223"/>
      <c r="E150" s="101">
        <f t="shared" si="98"/>
        <v>12</v>
      </c>
      <c r="F150" s="79">
        <f t="shared" si="96"/>
        <v>333.33</v>
      </c>
      <c r="G150" s="79">
        <f t="shared" si="96"/>
        <v>333.33</v>
      </c>
      <c r="H150" s="79">
        <f t="shared" si="96"/>
        <v>333.33</v>
      </c>
      <c r="I150" s="79">
        <f t="shared" si="96"/>
        <v>333.33</v>
      </c>
      <c r="J150" s="79">
        <f t="shared" si="96"/>
        <v>333.33</v>
      </c>
      <c r="K150" s="79">
        <f t="shared" si="96"/>
        <v>333.33</v>
      </c>
      <c r="L150" s="79">
        <f t="shared" si="96"/>
        <v>333.33</v>
      </c>
      <c r="M150" s="79">
        <f t="shared" si="96"/>
        <v>333.33</v>
      </c>
      <c r="N150" s="79">
        <f t="shared" si="96"/>
        <v>333.33</v>
      </c>
      <c r="O150" s="79">
        <f t="shared" si="96"/>
        <v>333.33</v>
      </c>
      <c r="P150" s="79">
        <f t="shared" si="96"/>
        <v>333.33</v>
      </c>
      <c r="Q150" s="79">
        <f t="shared" si="96"/>
        <v>333.33</v>
      </c>
      <c r="R150" s="71">
        <v>4000</v>
      </c>
      <c r="S150" s="139">
        <f t="shared" si="97"/>
        <v>333.33</v>
      </c>
      <c r="T150" s="139">
        <f>SUM($F150:G150)</f>
        <v>666.66</v>
      </c>
      <c r="U150" s="139">
        <f>SUM($F150:H150)</f>
        <v>999.99</v>
      </c>
      <c r="V150" s="139">
        <f>SUM($F150:I150)</f>
        <v>1333.32</v>
      </c>
      <c r="W150" s="139">
        <f>SUM($F150:J150)</f>
        <v>1666.6499999999999</v>
      </c>
      <c r="X150" s="139">
        <f>SUM($F150:K150)</f>
        <v>1999.9799999999998</v>
      </c>
      <c r="Y150" s="139">
        <f>SUM($F150:L150)</f>
        <v>2333.31</v>
      </c>
      <c r="Z150" s="139">
        <f>SUM($F150:M150)</f>
        <v>2666.64</v>
      </c>
      <c r="AA150" s="139">
        <f>SUM($F150:N150)</f>
        <v>2999.97</v>
      </c>
      <c r="AB150" s="139">
        <f>SUM($F150:O150)</f>
        <v>3333.2999999999997</v>
      </c>
      <c r="AC150" s="139">
        <f>SUM($F150:P150)</f>
        <v>3666.6299999999997</v>
      </c>
      <c r="AD150" s="139">
        <f>SUM($F150:Q150)</f>
        <v>3999.9599999999996</v>
      </c>
    </row>
    <row r="151" spans="1:30" x14ac:dyDescent="0.25">
      <c r="A151" s="106">
        <v>146</v>
      </c>
      <c r="C151" s="1" t="s">
        <v>104</v>
      </c>
      <c r="E151" s="101">
        <f t="shared" si="98"/>
        <v>12</v>
      </c>
      <c r="F151" s="79">
        <f t="shared" si="96"/>
        <v>500</v>
      </c>
      <c r="G151" s="79">
        <f t="shared" si="96"/>
        <v>500</v>
      </c>
      <c r="H151" s="79">
        <f t="shared" si="96"/>
        <v>500</v>
      </c>
      <c r="I151" s="79">
        <f t="shared" si="96"/>
        <v>500</v>
      </c>
      <c r="J151" s="79">
        <f t="shared" si="96"/>
        <v>500</v>
      </c>
      <c r="K151" s="79">
        <f t="shared" si="96"/>
        <v>500</v>
      </c>
      <c r="L151" s="79">
        <f t="shared" si="96"/>
        <v>500</v>
      </c>
      <c r="M151" s="79">
        <f t="shared" si="96"/>
        <v>500</v>
      </c>
      <c r="N151" s="79">
        <f t="shared" si="96"/>
        <v>500</v>
      </c>
      <c r="O151" s="79">
        <f t="shared" si="96"/>
        <v>500</v>
      </c>
      <c r="P151" s="79">
        <f t="shared" si="96"/>
        <v>500</v>
      </c>
      <c r="Q151" s="79">
        <f t="shared" si="96"/>
        <v>500</v>
      </c>
      <c r="R151" s="71">
        <v>6000</v>
      </c>
      <c r="S151" s="139">
        <f t="shared" si="97"/>
        <v>500</v>
      </c>
      <c r="T151" s="139">
        <f>SUM($F151:G151)</f>
        <v>1000</v>
      </c>
      <c r="U151" s="139">
        <f>SUM($F151:H151)</f>
        <v>1500</v>
      </c>
      <c r="V151" s="139">
        <f>SUM($F151:I151)</f>
        <v>2000</v>
      </c>
      <c r="W151" s="139">
        <f>SUM($F151:J151)</f>
        <v>2500</v>
      </c>
      <c r="X151" s="139">
        <f>SUM($F151:K151)</f>
        <v>3000</v>
      </c>
      <c r="Y151" s="139">
        <f>SUM($F151:L151)</f>
        <v>3500</v>
      </c>
      <c r="Z151" s="139">
        <f>SUM($F151:M151)</f>
        <v>4000</v>
      </c>
      <c r="AA151" s="139">
        <f>SUM($F151:N151)</f>
        <v>4500</v>
      </c>
      <c r="AB151" s="139">
        <f>SUM($F151:O151)</f>
        <v>5000</v>
      </c>
      <c r="AC151" s="139">
        <f>SUM($F151:P151)</f>
        <v>5500</v>
      </c>
      <c r="AD151" s="139">
        <f>SUM($F151:Q151)</f>
        <v>6000</v>
      </c>
    </row>
    <row r="152" spans="1:30" x14ac:dyDescent="0.25">
      <c r="A152" s="106">
        <v>147</v>
      </c>
      <c r="C152" s="1" t="s">
        <v>105</v>
      </c>
      <c r="E152" s="101">
        <f t="shared" si="98"/>
        <v>12</v>
      </c>
      <c r="F152" s="79">
        <f t="shared" si="96"/>
        <v>0</v>
      </c>
      <c r="G152" s="79">
        <f t="shared" si="96"/>
        <v>0</v>
      </c>
      <c r="H152" s="79">
        <f t="shared" si="96"/>
        <v>0</v>
      </c>
      <c r="I152" s="79">
        <f t="shared" si="96"/>
        <v>0</v>
      </c>
      <c r="J152" s="79">
        <f t="shared" si="96"/>
        <v>0</v>
      </c>
      <c r="K152" s="79">
        <f t="shared" si="96"/>
        <v>0</v>
      </c>
      <c r="L152" s="79">
        <f t="shared" si="96"/>
        <v>0</v>
      </c>
      <c r="M152" s="79">
        <f t="shared" si="96"/>
        <v>0</v>
      </c>
      <c r="N152" s="79">
        <f t="shared" si="96"/>
        <v>0</v>
      </c>
      <c r="O152" s="79">
        <f t="shared" si="96"/>
        <v>0</v>
      </c>
      <c r="P152" s="79">
        <f t="shared" si="96"/>
        <v>0</v>
      </c>
      <c r="Q152" s="79">
        <f t="shared" si="96"/>
        <v>0</v>
      </c>
      <c r="R152" s="71">
        <v>0</v>
      </c>
      <c r="S152" s="139">
        <f t="shared" si="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8"/>
        <v>12</v>
      </c>
      <c r="F153" s="79">
        <f t="shared" si="96"/>
        <v>4575</v>
      </c>
      <c r="G153" s="79">
        <f t="shared" si="96"/>
        <v>4575</v>
      </c>
      <c r="H153" s="79">
        <f t="shared" si="96"/>
        <v>4575</v>
      </c>
      <c r="I153" s="79">
        <f t="shared" si="96"/>
        <v>4575</v>
      </c>
      <c r="J153" s="79">
        <f t="shared" si="96"/>
        <v>4575</v>
      </c>
      <c r="K153" s="79">
        <f t="shared" si="96"/>
        <v>4575</v>
      </c>
      <c r="L153" s="79">
        <f t="shared" si="96"/>
        <v>4575</v>
      </c>
      <c r="M153" s="79">
        <f t="shared" si="96"/>
        <v>4575</v>
      </c>
      <c r="N153" s="79">
        <f t="shared" si="96"/>
        <v>4575</v>
      </c>
      <c r="O153" s="79">
        <f t="shared" si="96"/>
        <v>4575</v>
      </c>
      <c r="P153" s="79">
        <f t="shared" si="96"/>
        <v>4575</v>
      </c>
      <c r="Q153" s="79">
        <f t="shared" si="96"/>
        <v>4575</v>
      </c>
      <c r="R153" s="71">
        <v>54900</v>
      </c>
      <c r="S153" s="139">
        <f t="shared" si="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8"/>
        <v>12</v>
      </c>
      <c r="F154" s="79">
        <f t="shared" si="96"/>
        <v>57</v>
      </c>
      <c r="G154" s="79">
        <f t="shared" si="96"/>
        <v>57</v>
      </c>
      <c r="H154" s="79">
        <f t="shared" si="96"/>
        <v>57</v>
      </c>
      <c r="I154" s="79">
        <f t="shared" si="96"/>
        <v>57</v>
      </c>
      <c r="J154" s="79">
        <f t="shared" si="96"/>
        <v>57</v>
      </c>
      <c r="K154" s="79">
        <f t="shared" si="96"/>
        <v>57</v>
      </c>
      <c r="L154" s="79">
        <f t="shared" si="96"/>
        <v>57</v>
      </c>
      <c r="M154" s="79">
        <f t="shared" si="96"/>
        <v>57</v>
      </c>
      <c r="N154" s="79">
        <f t="shared" si="96"/>
        <v>57</v>
      </c>
      <c r="O154" s="79">
        <f t="shared" si="96"/>
        <v>57</v>
      </c>
      <c r="P154" s="79">
        <f t="shared" si="96"/>
        <v>57</v>
      </c>
      <c r="Q154" s="79">
        <f t="shared" si="96"/>
        <v>57</v>
      </c>
      <c r="R154" s="71">
        <v>684</v>
      </c>
      <c r="S154" s="139">
        <f t="shared" si="97"/>
        <v>57</v>
      </c>
      <c r="T154" s="139">
        <f>SUM($F154:G154)</f>
        <v>114</v>
      </c>
      <c r="U154" s="139">
        <f>SUM($F154:H154)</f>
        <v>171</v>
      </c>
      <c r="V154" s="139">
        <f>SUM($F154:I154)</f>
        <v>228</v>
      </c>
      <c r="W154" s="139">
        <f>SUM($F154:J154)</f>
        <v>285</v>
      </c>
      <c r="X154" s="139">
        <f>SUM($F154:K154)</f>
        <v>342</v>
      </c>
      <c r="Y154" s="139">
        <f>SUM($F154:L154)</f>
        <v>399</v>
      </c>
      <c r="Z154" s="139">
        <f>SUM($F154:M154)</f>
        <v>456</v>
      </c>
      <c r="AA154" s="139">
        <f>SUM($F154:N154)</f>
        <v>513</v>
      </c>
      <c r="AB154" s="139">
        <f>SUM($F154:O154)</f>
        <v>570</v>
      </c>
      <c r="AC154" s="139">
        <f>SUM($F154:P154)</f>
        <v>627</v>
      </c>
      <c r="AD154" s="139">
        <f>SUM($F154:Q154)</f>
        <v>684</v>
      </c>
    </row>
    <row r="155" spans="1:30" s="5" customFormat="1" x14ac:dyDescent="0.25">
      <c r="A155" s="106">
        <v>150</v>
      </c>
      <c r="B155" s="36" t="s">
        <v>108</v>
      </c>
      <c r="C155" s="36"/>
      <c r="D155" s="36"/>
      <c r="E155" s="97"/>
      <c r="F155" s="81">
        <f t="shared" ref="F155:Q155" si="99">SUM(F147:F154)</f>
        <v>9698.66</v>
      </c>
      <c r="G155" s="81">
        <f t="shared" si="99"/>
        <v>6673.66</v>
      </c>
      <c r="H155" s="81">
        <f t="shared" si="99"/>
        <v>6673.66</v>
      </c>
      <c r="I155" s="81">
        <f t="shared" si="99"/>
        <v>8698.66</v>
      </c>
      <c r="J155" s="81">
        <f t="shared" si="99"/>
        <v>5673.66</v>
      </c>
      <c r="K155" s="81">
        <f t="shared" si="99"/>
        <v>5673.66</v>
      </c>
      <c r="L155" s="81">
        <f t="shared" si="99"/>
        <v>8698.66</v>
      </c>
      <c r="M155" s="81">
        <f t="shared" si="99"/>
        <v>5673.66</v>
      </c>
      <c r="N155" s="81">
        <f t="shared" si="99"/>
        <v>5673.66</v>
      </c>
      <c r="O155" s="81">
        <f t="shared" si="99"/>
        <v>8698.66</v>
      </c>
      <c r="P155" s="81">
        <f t="shared" si="99"/>
        <v>6673.66</v>
      </c>
      <c r="Q155" s="81">
        <f t="shared" si="99"/>
        <v>6673.66</v>
      </c>
      <c r="R155" s="81">
        <f>SUM(R147:R154)</f>
        <v>85184</v>
      </c>
      <c r="S155" s="150">
        <f t="shared" ref="S155:AD155" si="100">SUM(S147:S154)</f>
        <v>9698.66</v>
      </c>
      <c r="T155" s="150">
        <f t="shared" si="100"/>
        <v>16372.32</v>
      </c>
      <c r="U155" s="150">
        <f t="shared" si="100"/>
        <v>23045.98</v>
      </c>
      <c r="V155" s="150">
        <f t="shared" si="100"/>
        <v>31744.639999999999</v>
      </c>
      <c r="W155" s="150">
        <f t="shared" si="100"/>
        <v>37418.300000000003</v>
      </c>
      <c r="X155" s="150">
        <f t="shared" si="100"/>
        <v>43091.96</v>
      </c>
      <c r="Y155" s="150">
        <f t="shared" si="100"/>
        <v>51790.619999999995</v>
      </c>
      <c r="Z155" s="150">
        <f t="shared" si="100"/>
        <v>57464.28</v>
      </c>
      <c r="AA155" s="150">
        <f t="shared" si="100"/>
        <v>63137.94</v>
      </c>
      <c r="AB155" s="150">
        <f t="shared" si="100"/>
        <v>71836.600000000006</v>
      </c>
      <c r="AC155" s="150">
        <f t="shared" si="100"/>
        <v>78510.260000000009</v>
      </c>
      <c r="AD155" s="150">
        <f t="shared" si="100"/>
        <v>85183.92</v>
      </c>
    </row>
    <row r="156" spans="1:30" x14ac:dyDescent="0.25">
      <c r="A156" s="106">
        <v>151</v>
      </c>
      <c r="B156" s="36" t="s">
        <v>109</v>
      </c>
      <c r="C156" s="36"/>
      <c r="D156" s="36"/>
      <c r="E156" s="97"/>
      <c r="F156" s="81">
        <f t="shared" ref="F156:Q156" si="101">+F144+F155</f>
        <v>16376.66</v>
      </c>
      <c r="G156" s="81">
        <f t="shared" si="101"/>
        <v>9851.66</v>
      </c>
      <c r="H156" s="81">
        <f t="shared" si="101"/>
        <v>9851.66</v>
      </c>
      <c r="I156" s="81">
        <f t="shared" si="101"/>
        <v>12076.66</v>
      </c>
      <c r="J156" s="81">
        <f t="shared" si="101"/>
        <v>8851.66</v>
      </c>
      <c r="K156" s="81">
        <f t="shared" si="101"/>
        <v>8851.66</v>
      </c>
      <c r="L156" s="81">
        <f t="shared" si="101"/>
        <v>12076.66</v>
      </c>
      <c r="M156" s="81">
        <f t="shared" si="101"/>
        <v>8851.66</v>
      </c>
      <c r="N156" s="81">
        <f t="shared" si="101"/>
        <v>8851.66</v>
      </c>
      <c r="O156" s="81">
        <f t="shared" si="101"/>
        <v>12076.66</v>
      </c>
      <c r="P156" s="81">
        <f t="shared" si="101"/>
        <v>9851.66</v>
      </c>
      <c r="Q156" s="81">
        <f t="shared" si="101"/>
        <v>9851.66</v>
      </c>
      <c r="R156" s="81">
        <f>+R144+R155</f>
        <v>127420</v>
      </c>
      <c r="S156" s="150">
        <f t="shared" ref="S156:AD156" si="102">+S144+S155</f>
        <v>16376.66</v>
      </c>
      <c r="T156" s="150">
        <f t="shared" si="102"/>
        <v>26228.32</v>
      </c>
      <c r="U156" s="150">
        <f t="shared" si="102"/>
        <v>36079.979999999996</v>
      </c>
      <c r="V156" s="150">
        <f t="shared" si="102"/>
        <v>48156.639999999999</v>
      </c>
      <c r="W156" s="150">
        <f t="shared" si="102"/>
        <v>57008.3</v>
      </c>
      <c r="X156" s="150">
        <f t="shared" si="102"/>
        <v>65859.959999999992</v>
      </c>
      <c r="Y156" s="150">
        <f t="shared" si="102"/>
        <v>77936.62</v>
      </c>
      <c r="Z156" s="150">
        <f t="shared" si="102"/>
        <v>86788.28</v>
      </c>
      <c r="AA156" s="150">
        <f t="shared" si="102"/>
        <v>95639.94</v>
      </c>
      <c r="AB156" s="150">
        <f t="shared" si="102"/>
        <v>107716.6</v>
      </c>
      <c r="AC156" s="150">
        <f t="shared" si="102"/>
        <v>117568.26000000001</v>
      </c>
      <c r="AD156" s="150">
        <f t="shared" si="102"/>
        <v>127419.92</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103">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1128.75</v>
      </c>
      <c r="I161" s="71">
        <v>0</v>
      </c>
      <c r="J161" s="71">
        <v>0</v>
      </c>
      <c r="K161" s="79">
        <f>+$R161/4</f>
        <v>1128.75</v>
      </c>
      <c r="L161" s="71">
        <v>0</v>
      </c>
      <c r="M161" s="71">
        <v>0</v>
      </c>
      <c r="N161" s="79">
        <f>+$R161/4</f>
        <v>1128.75</v>
      </c>
      <c r="O161" s="71">
        <v>0</v>
      </c>
      <c r="P161" s="71">
        <v>0</v>
      </c>
      <c r="Q161" s="79">
        <f>+$R161/4</f>
        <v>1128.75</v>
      </c>
      <c r="R161" s="71">
        <v>4515</v>
      </c>
      <c r="S161" s="139">
        <f t="shared" si="103"/>
        <v>0</v>
      </c>
      <c r="T161" s="139">
        <f>SUM($F161:G161)</f>
        <v>0</v>
      </c>
      <c r="U161" s="139">
        <f>SUM($F161:H161)</f>
        <v>1128.75</v>
      </c>
      <c r="V161" s="139">
        <f>SUM($F161:I161)</f>
        <v>1128.75</v>
      </c>
      <c r="W161" s="139">
        <f>SUM($F161:J161)</f>
        <v>1128.75</v>
      </c>
      <c r="X161" s="139">
        <f>SUM($F161:K161)</f>
        <v>2257.5</v>
      </c>
      <c r="Y161" s="139">
        <f>SUM($F161:L161)</f>
        <v>2257.5</v>
      </c>
      <c r="Z161" s="139">
        <f>SUM($F161:M161)</f>
        <v>2257.5</v>
      </c>
      <c r="AA161" s="139">
        <f>SUM($F161:N161)</f>
        <v>3386.25</v>
      </c>
      <c r="AB161" s="139">
        <f>SUM($F161:O161)</f>
        <v>3386.25</v>
      </c>
      <c r="AC161" s="139">
        <f>SUM($F161:P161)</f>
        <v>3386.25</v>
      </c>
      <c r="AD161" s="139">
        <f>SUM($F161:Q161)</f>
        <v>4515</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103"/>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4">+E$16</f>
        <v>12</v>
      </c>
      <c r="F163" s="79">
        <f>ROUND(+$R163/$E163,2)</f>
        <v>376.33</v>
      </c>
      <c r="G163" s="79">
        <f t="shared" ref="G163:Q163" si="105">ROUND(+$R163/$E163,2)</f>
        <v>376.33</v>
      </c>
      <c r="H163" s="79">
        <f t="shared" si="105"/>
        <v>376.33</v>
      </c>
      <c r="I163" s="79">
        <f t="shared" si="105"/>
        <v>376.33</v>
      </c>
      <c r="J163" s="79">
        <f t="shared" si="105"/>
        <v>376.33</v>
      </c>
      <c r="K163" s="79">
        <f t="shared" si="105"/>
        <v>376.33</v>
      </c>
      <c r="L163" s="79">
        <f t="shared" si="105"/>
        <v>376.33</v>
      </c>
      <c r="M163" s="79">
        <f t="shared" si="105"/>
        <v>376.33</v>
      </c>
      <c r="N163" s="79">
        <f t="shared" si="105"/>
        <v>376.33</v>
      </c>
      <c r="O163" s="79">
        <f t="shared" si="105"/>
        <v>376.33</v>
      </c>
      <c r="P163" s="79">
        <f t="shared" si="105"/>
        <v>376.33</v>
      </c>
      <c r="Q163" s="79">
        <f t="shared" si="105"/>
        <v>376.33</v>
      </c>
      <c r="R163" s="71">
        <v>4516</v>
      </c>
      <c r="S163" s="139">
        <f t="shared" si="103"/>
        <v>376.33</v>
      </c>
      <c r="T163" s="139">
        <f>SUM($F163:G163)</f>
        <v>752.66</v>
      </c>
      <c r="U163" s="139">
        <f>SUM($F163:H163)</f>
        <v>1128.99</v>
      </c>
      <c r="V163" s="139">
        <f>SUM($F163:I163)</f>
        <v>1505.32</v>
      </c>
      <c r="W163" s="139">
        <f>SUM($F163:J163)</f>
        <v>1881.6499999999999</v>
      </c>
      <c r="X163" s="139">
        <f>SUM($F163:K163)</f>
        <v>2257.98</v>
      </c>
      <c r="Y163" s="139">
        <f>SUM($F163:L163)</f>
        <v>2634.31</v>
      </c>
      <c r="Z163" s="139">
        <f>SUM($F163:M163)</f>
        <v>3010.64</v>
      </c>
      <c r="AA163" s="139">
        <f>SUM($F163:N163)</f>
        <v>3386.97</v>
      </c>
      <c r="AB163" s="139">
        <f>SUM($F163:O163)</f>
        <v>3763.2999999999997</v>
      </c>
      <c r="AC163" s="139">
        <f>SUM($F163:P163)</f>
        <v>4139.63</v>
      </c>
      <c r="AD163" s="139">
        <f>SUM($F163:Q163)</f>
        <v>4515.96</v>
      </c>
    </row>
    <row r="164" spans="1:30" s="5" customFormat="1" x14ac:dyDescent="0.25">
      <c r="A164" s="106">
        <v>159</v>
      </c>
      <c r="B164" s="38" t="s">
        <v>116</v>
      </c>
      <c r="C164" s="38"/>
      <c r="D164" s="38"/>
      <c r="E164" s="98"/>
      <c r="F164" s="82">
        <f t="shared" ref="F164:Q164" si="106">SUM(F160:F163)</f>
        <v>376.33</v>
      </c>
      <c r="G164" s="82">
        <f t="shared" si="106"/>
        <v>376.33</v>
      </c>
      <c r="H164" s="82">
        <f t="shared" si="106"/>
        <v>1505.08</v>
      </c>
      <c r="I164" s="82">
        <f t="shared" si="106"/>
        <v>376.33</v>
      </c>
      <c r="J164" s="82">
        <f t="shared" si="106"/>
        <v>376.33</v>
      </c>
      <c r="K164" s="82">
        <f t="shared" si="106"/>
        <v>1505.08</v>
      </c>
      <c r="L164" s="82">
        <f t="shared" si="106"/>
        <v>376.33</v>
      </c>
      <c r="M164" s="82">
        <f t="shared" si="106"/>
        <v>376.33</v>
      </c>
      <c r="N164" s="82">
        <f t="shared" si="106"/>
        <v>1505.08</v>
      </c>
      <c r="O164" s="82">
        <f t="shared" si="106"/>
        <v>376.33</v>
      </c>
      <c r="P164" s="82">
        <f t="shared" si="106"/>
        <v>376.33</v>
      </c>
      <c r="Q164" s="82">
        <f t="shared" si="106"/>
        <v>1505.08</v>
      </c>
      <c r="R164" s="82">
        <f>SUM(R160:R163)</f>
        <v>9031</v>
      </c>
      <c r="S164" s="151">
        <f t="shared" ref="S164:AD164" si="107">SUM(S160:S163)</f>
        <v>376.33</v>
      </c>
      <c r="T164" s="151">
        <f t="shared" si="107"/>
        <v>752.66</v>
      </c>
      <c r="U164" s="151">
        <f t="shared" si="107"/>
        <v>2257.7399999999998</v>
      </c>
      <c r="V164" s="151">
        <f t="shared" si="107"/>
        <v>2634.0699999999997</v>
      </c>
      <c r="W164" s="151">
        <f t="shared" si="107"/>
        <v>3010.3999999999996</v>
      </c>
      <c r="X164" s="151">
        <f t="shared" si="107"/>
        <v>4515.4799999999996</v>
      </c>
      <c r="Y164" s="151">
        <f t="shared" si="107"/>
        <v>4891.8099999999995</v>
      </c>
      <c r="Z164" s="151">
        <f t="shared" si="107"/>
        <v>5268.1399999999994</v>
      </c>
      <c r="AA164" s="151">
        <f t="shared" si="107"/>
        <v>6773.2199999999993</v>
      </c>
      <c r="AB164" s="151">
        <f t="shared" si="107"/>
        <v>7149.5499999999993</v>
      </c>
      <c r="AC164" s="151">
        <f t="shared" si="107"/>
        <v>7525.88</v>
      </c>
      <c r="AD164" s="151">
        <f t="shared" si="107"/>
        <v>9030.9599999999991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8">+F82+F133+F156+F164+F31</f>
        <v>49288.560000000005</v>
      </c>
      <c r="G166" s="83">
        <f t="shared" si="108"/>
        <v>41907.810000000005</v>
      </c>
      <c r="H166" s="83">
        <f t="shared" si="108"/>
        <v>43103.22</v>
      </c>
      <c r="I166" s="83">
        <f t="shared" si="108"/>
        <v>45055.23000000001</v>
      </c>
      <c r="J166" s="83">
        <f t="shared" si="108"/>
        <v>41580.73000000001</v>
      </c>
      <c r="K166" s="83">
        <f t="shared" si="108"/>
        <v>41942.810000000005</v>
      </c>
      <c r="L166" s="83">
        <f t="shared" si="108"/>
        <v>44223.51</v>
      </c>
      <c r="M166" s="83">
        <f t="shared" si="108"/>
        <v>40892.76</v>
      </c>
      <c r="N166" s="83">
        <f t="shared" si="108"/>
        <v>80410.75</v>
      </c>
      <c r="O166" s="83">
        <f t="shared" si="108"/>
        <v>46138.560000000012</v>
      </c>
      <c r="P166" s="83">
        <f t="shared" si="108"/>
        <v>42057.810000000005</v>
      </c>
      <c r="Q166" s="83">
        <f t="shared" si="108"/>
        <v>55903.33</v>
      </c>
      <c r="R166" s="83">
        <f>+R82+R133+R156+R164+R31</f>
        <v>572505</v>
      </c>
      <c r="S166" s="152">
        <f t="shared" ref="S166:AD166" si="109">+S82+S133+S156+S164+S31</f>
        <v>49288.560000000005</v>
      </c>
      <c r="T166" s="152">
        <f t="shared" si="109"/>
        <v>91196.37000000001</v>
      </c>
      <c r="U166" s="152">
        <f t="shared" si="109"/>
        <v>134299.58999999997</v>
      </c>
      <c r="V166" s="152">
        <f t="shared" si="109"/>
        <v>179354.82</v>
      </c>
      <c r="W166" s="152">
        <f t="shared" si="109"/>
        <v>220935.55000000002</v>
      </c>
      <c r="X166" s="152">
        <f t="shared" si="109"/>
        <v>262878.36</v>
      </c>
      <c r="Y166" s="152">
        <f t="shared" si="109"/>
        <v>307101.87</v>
      </c>
      <c r="Z166" s="152">
        <f t="shared" si="109"/>
        <v>347994.63</v>
      </c>
      <c r="AA166" s="152">
        <f t="shared" si="109"/>
        <v>428405.38</v>
      </c>
      <c r="AB166" s="152">
        <f t="shared" si="109"/>
        <v>474543.93999999994</v>
      </c>
      <c r="AC166" s="152">
        <f t="shared" si="109"/>
        <v>516601.75</v>
      </c>
      <c r="AD166" s="152">
        <f t="shared" si="109"/>
        <v>572505.07999999996</v>
      </c>
    </row>
    <row r="167" spans="1:30" x14ac:dyDescent="0.25">
      <c r="A167" s="106">
        <v>162</v>
      </c>
      <c r="B167" s="40" t="s">
        <v>118</v>
      </c>
      <c r="C167" s="41"/>
      <c r="D167" s="41"/>
      <c r="E167" s="99"/>
      <c r="F167" s="83">
        <f t="shared" ref="F167:Q167" si="110">+F22-F166</f>
        <v>-48455.23</v>
      </c>
      <c r="G167" s="83">
        <f t="shared" si="110"/>
        <v>-41074.480000000003</v>
      </c>
      <c r="H167" s="83">
        <f t="shared" si="110"/>
        <v>-42269.89</v>
      </c>
      <c r="I167" s="83">
        <f t="shared" si="110"/>
        <v>-44221.900000000009</v>
      </c>
      <c r="J167" s="83">
        <f t="shared" si="110"/>
        <v>-40747.400000000009</v>
      </c>
      <c r="K167" s="83">
        <f t="shared" si="110"/>
        <v>-41109.480000000003</v>
      </c>
      <c r="L167" s="83">
        <f t="shared" si="110"/>
        <v>-43390.18</v>
      </c>
      <c r="M167" s="83">
        <f t="shared" si="110"/>
        <v>-40059.43</v>
      </c>
      <c r="N167" s="83">
        <f t="shared" si="110"/>
        <v>355525.02</v>
      </c>
      <c r="O167" s="83">
        <f t="shared" si="110"/>
        <v>-45305.23000000001</v>
      </c>
      <c r="P167" s="83">
        <f t="shared" si="110"/>
        <v>-41224.480000000003</v>
      </c>
      <c r="Q167" s="83">
        <f t="shared" si="110"/>
        <v>72332.56</v>
      </c>
      <c r="R167" s="83">
        <f>+R22-R166</f>
        <v>0</v>
      </c>
      <c r="S167" s="152">
        <f t="shared" ref="S167:AD167" si="111">+S22-S166</f>
        <v>-48455.23</v>
      </c>
      <c r="T167" s="152">
        <f t="shared" si="111"/>
        <v>-89529.71</v>
      </c>
      <c r="U167" s="152">
        <f t="shared" si="111"/>
        <v>-131799.59999999998</v>
      </c>
      <c r="V167" s="152">
        <f t="shared" si="111"/>
        <v>-176021.5</v>
      </c>
      <c r="W167" s="152">
        <f t="shared" si="111"/>
        <v>-216768.90000000002</v>
      </c>
      <c r="X167" s="152">
        <f t="shared" si="111"/>
        <v>-257878.37999999998</v>
      </c>
      <c r="Y167" s="152">
        <f t="shared" si="111"/>
        <v>-301268.56</v>
      </c>
      <c r="Z167" s="152">
        <f t="shared" si="111"/>
        <v>-341327.99</v>
      </c>
      <c r="AA167" s="152">
        <f t="shared" si="111"/>
        <v>14197.02999999997</v>
      </c>
      <c r="AB167" s="152">
        <f t="shared" si="111"/>
        <v>-31108.199999999953</v>
      </c>
      <c r="AC167" s="152">
        <f t="shared" si="111"/>
        <v>-72332.679999999993</v>
      </c>
      <c r="AD167" s="152">
        <f t="shared" si="111"/>
        <v>-0.11999999999534339</v>
      </c>
    </row>
    <row r="168" spans="1:30" x14ac:dyDescent="0.25">
      <c r="AC168" s="35" t="s">
        <v>179</v>
      </c>
      <c r="AD168" s="35">
        <f>+R166-AD166</f>
        <v>-7.9999999958090484E-2</v>
      </c>
    </row>
    <row r="169" spans="1:30" x14ac:dyDescent="0.25">
      <c r="AD169" s="35">
        <f>+R167-AD167</f>
        <v>0.11999999999534339</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I1" workbookViewId="0">
      <selection activeCell="AE13" sqref="AE13"/>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13</v>
      </c>
      <c r="G3" s="237"/>
      <c r="H3" s="237"/>
      <c r="I3" s="237"/>
      <c r="J3" s="237"/>
      <c r="K3" s="237"/>
      <c r="L3" s="237"/>
      <c r="M3" s="237"/>
      <c r="N3" s="237"/>
      <c r="O3" s="237"/>
      <c r="P3" s="237"/>
      <c r="Q3" s="237"/>
      <c r="R3" s="238"/>
      <c r="S3" s="239" t="str">
        <f>+F3&amp;" YTD"</f>
        <v>2012 Budget YTD</v>
      </c>
      <c r="T3" s="240"/>
      <c r="U3" s="240"/>
      <c r="V3" s="240"/>
      <c r="W3" s="240"/>
      <c r="X3" s="240"/>
      <c r="Y3" s="240"/>
      <c r="Z3" s="240"/>
      <c r="AA3" s="240"/>
      <c r="AB3" s="240"/>
      <c r="AC3" s="240"/>
      <c r="AD3" s="241"/>
    </row>
    <row r="4" spans="1:30" s="5" customFormat="1" ht="53.25" customHeight="1" x14ac:dyDescent="0.25">
      <c r="A4" s="107"/>
      <c r="E4" s="88" t="s">
        <v>167</v>
      </c>
      <c r="F4" s="69" t="s">
        <v>166</v>
      </c>
      <c r="G4" s="69" t="s">
        <v>168</v>
      </c>
      <c r="H4" s="69" t="s">
        <v>169</v>
      </c>
      <c r="I4" s="69" t="s">
        <v>170</v>
      </c>
      <c r="J4" s="69" t="s">
        <v>171</v>
      </c>
      <c r="K4" s="69" t="s">
        <v>172</v>
      </c>
      <c r="L4" s="69" t="s">
        <v>173</v>
      </c>
      <c r="M4" s="69" t="s">
        <v>174</v>
      </c>
      <c r="N4" s="69" t="s">
        <v>175</v>
      </c>
      <c r="O4" s="69" t="s">
        <v>176</v>
      </c>
      <c r="P4" s="69" t="s">
        <v>177</v>
      </c>
      <c r="Q4" s="69" t="s">
        <v>178</v>
      </c>
      <c r="R4" s="135"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97671.18</v>
      </c>
      <c r="G7" s="71">
        <v>33979.449999999997</v>
      </c>
      <c r="H7" s="71">
        <v>34632.65</v>
      </c>
      <c r="I7" s="71">
        <v>36883.99</v>
      </c>
      <c r="J7" s="71">
        <v>36463.879999999997</v>
      </c>
      <c r="K7" s="71">
        <v>31204.28</v>
      </c>
      <c r="L7" s="71">
        <v>91290.36</v>
      </c>
      <c r="M7" s="71">
        <v>32783.730000000003</v>
      </c>
      <c r="N7" s="71">
        <v>33492.92</v>
      </c>
      <c r="O7" s="71">
        <v>37752.089999999997</v>
      </c>
      <c r="P7" s="71">
        <v>37595.94</v>
      </c>
      <c r="Q7" s="71">
        <v>46054.53</v>
      </c>
      <c r="R7" s="79">
        <f>SUM(F7:Q7)</f>
        <v>549804.99999999988</v>
      </c>
      <c r="S7" s="139">
        <f>SUM(F7)</f>
        <v>97671.18</v>
      </c>
      <c r="T7" s="139">
        <f>SUM($F7:G7)</f>
        <v>131650.63</v>
      </c>
      <c r="U7" s="139">
        <f>SUM($F7:H7)</f>
        <v>166283.28</v>
      </c>
      <c r="V7" s="139">
        <f>SUM($F7:I7)</f>
        <v>203167.27</v>
      </c>
      <c r="W7" s="139">
        <f>SUM($F7:J7)</f>
        <v>239631.15</v>
      </c>
      <c r="X7" s="139">
        <f>SUM($F7:K7)</f>
        <v>270835.43</v>
      </c>
      <c r="Y7" s="139">
        <f>SUM($F7:L7)</f>
        <v>362125.79</v>
      </c>
      <c r="Z7" s="139">
        <f>SUM($F7:M7)</f>
        <v>394909.51999999996</v>
      </c>
      <c r="AA7" s="139">
        <f>SUM($F7:N7)</f>
        <v>428402.43999999994</v>
      </c>
      <c r="AB7" s="139">
        <f>SUM($F7:O7)</f>
        <v>466154.52999999991</v>
      </c>
      <c r="AC7" s="139">
        <f>SUM($F7:P7)</f>
        <v>503750.46999999991</v>
      </c>
      <c r="AD7" s="139">
        <f>SUM($F7:Q7)</f>
        <v>549804.99999999988</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0</v>
      </c>
      <c r="I9" s="71">
        <v>4000</v>
      </c>
      <c r="J9" s="71">
        <v>0</v>
      </c>
      <c r="K9" s="71">
        <v>0</v>
      </c>
      <c r="L9" s="71">
        <v>0</v>
      </c>
      <c r="M9" s="71">
        <v>0</v>
      </c>
      <c r="N9" s="71">
        <v>0</v>
      </c>
      <c r="O9" s="71">
        <v>0</v>
      </c>
      <c r="P9" s="71">
        <v>0</v>
      </c>
      <c r="Q9" s="71">
        <v>0</v>
      </c>
      <c r="R9" s="79">
        <f t="shared" si="0"/>
        <v>4000</v>
      </c>
      <c r="S9" s="139">
        <f t="shared" si="1"/>
        <v>0</v>
      </c>
      <c r="T9" s="139">
        <f>SUM($F9:G9)</f>
        <v>0</v>
      </c>
      <c r="U9" s="139">
        <f>SUM($F9:H9)</f>
        <v>0</v>
      </c>
      <c r="V9" s="139">
        <f>SUM($F9:I9)</f>
        <v>4000</v>
      </c>
      <c r="W9" s="139">
        <f>SUM($F9:J9)</f>
        <v>4000</v>
      </c>
      <c r="X9" s="139">
        <f>SUM($F9:K9)</f>
        <v>4000</v>
      </c>
      <c r="Y9" s="139">
        <f>SUM($F9:L9)</f>
        <v>4000</v>
      </c>
      <c r="Z9" s="139">
        <f>SUM($F9:M9)</f>
        <v>4000</v>
      </c>
      <c r="AA9" s="139">
        <f>SUM($F9:N9)</f>
        <v>4000</v>
      </c>
      <c r="AB9" s="139">
        <f>SUM($F9:O9)</f>
        <v>4000</v>
      </c>
      <c r="AC9" s="139">
        <f>SUM($F9:P9)</f>
        <v>4000</v>
      </c>
      <c r="AD9" s="139">
        <f>SUM($F9:Q9)</f>
        <v>4000</v>
      </c>
    </row>
    <row r="10" spans="1:30" x14ac:dyDescent="0.25">
      <c r="A10" s="106">
        <v>5</v>
      </c>
      <c r="C10" s="1" t="s">
        <v>4</v>
      </c>
      <c r="F10" s="71">
        <v>0</v>
      </c>
      <c r="G10" s="71">
        <v>0</v>
      </c>
      <c r="H10" s="71">
        <v>0</v>
      </c>
      <c r="I10" s="71">
        <v>0</v>
      </c>
      <c r="J10" s="71">
        <v>0</v>
      </c>
      <c r="K10" s="71">
        <v>0</v>
      </c>
      <c r="L10" s="71">
        <v>0</v>
      </c>
      <c r="M10" s="71">
        <v>0</v>
      </c>
      <c r="N10" s="71">
        <v>0</v>
      </c>
      <c r="O10" s="71">
        <v>0</v>
      </c>
      <c r="P10" s="71">
        <v>1000</v>
      </c>
      <c r="Q10" s="71">
        <v>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1000</v>
      </c>
      <c r="AD10" s="139">
        <f>SUM($F10:Q10)</f>
        <v>1000</v>
      </c>
    </row>
    <row r="11" spans="1:30" x14ac:dyDescent="0.25">
      <c r="A11" s="106">
        <v>6</v>
      </c>
      <c r="C11" s="1" t="s">
        <v>5</v>
      </c>
      <c r="F11" s="71">
        <v>0</v>
      </c>
      <c r="G11" s="71">
        <v>0</v>
      </c>
      <c r="H11" s="71">
        <v>0</v>
      </c>
      <c r="I11" s="71">
        <v>0</v>
      </c>
      <c r="J11" s="71">
        <v>0</v>
      </c>
      <c r="K11" s="71">
        <v>0</v>
      </c>
      <c r="L11" s="71">
        <v>0</v>
      </c>
      <c r="M11" s="71">
        <v>0</v>
      </c>
      <c r="N11" s="71">
        <v>0</v>
      </c>
      <c r="O11" s="71">
        <v>0</v>
      </c>
      <c r="P11" s="71">
        <v>0</v>
      </c>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v>0</v>
      </c>
      <c r="G12" s="71">
        <v>675</v>
      </c>
      <c r="H12" s="71">
        <v>1350</v>
      </c>
      <c r="I12" s="71">
        <v>675</v>
      </c>
      <c r="J12" s="71">
        <v>0</v>
      </c>
      <c r="K12" s="71">
        <v>0</v>
      </c>
      <c r="L12" s="71">
        <v>0</v>
      </c>
      <c r="M12" s="71">
        <v>0</v>
      </c>
      <c r="N12" s="71">
        <v>0</v>
      </c>
      <c r="O12" s="71">
        <v>0</v>
      </c>
      <c r="P12" s="71">
        <v>0</v>
      </c>
      <c r="Q12" s="71">
        <v>0</v>
      </c>
      <c r="R12" s="79">
        <f t="shared" si="0"/>
        <v>2700</v>
      </c>
      <c r="S12" s="139">
        <f t="shared" si="1"/>
        <v>0</v>
      </c>
      <c r="T12" s="139">
        <f>SUM($F12:G12)</f>
        <v>675</v>
      </c>
      <c r="U12" s="139">
        <f>SUM($F12:H12)</f>
        <v>2025</v>
      </c>
      <c r="V12" s="139">
        <f>SUM($F12:I12)</f>
        <v>2700</v>
      </c>
      <c r="W12" s="139">
        <f>SUM($F12:J12)</f>
        <v>2700</v>
      </c>
      <c r="X12" s="139">
        <f>SUM($F12:K12)</f>
        <v>2700</v>
      </c>
      <c r="Y12" s="139">
        <f>SUM($F12:L12)</f>
        <v>2700</v>
      </c>
      <c r="Z12" s="139">
        <f>SUM($F12:M12)</f>
        <v>2700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2">SUM(F7:F12)</f>
        <v>97671.18</v>
      </c>
      <c r="G13" s="72">
        <f t="shared" si="2"/>
        <v>34654.449999999997</v>
      </c>
      <c r="H13" s="72">
        <f t="shared" si="2"/>
        <v>35982.65</v>
      </c>
      <c r="I13" s="72">
        <f t="shared" si="2"/>
        <v>41558.99</v>
      </c>
      <c r="J13" s="72">
        <f t="shared" si="2"/>
        <v>36463.879999999997</v>
      </c>
      <c r="K13" s="72">
        <f t="shared" si="2"/>
        <v>31204.28</v>
      </c>
      <c r="L13" s="72">
        <f t="shared" si="2"/>
        <v>91290.36</v>
      </c>
      <c r="M13" s="72">
        <f t="shared" si="2"/>
        <v>32783.730000000003</v>
      </c>
      <c r="N13" s="72">
        <f t="shared" si="2"/>
        <v>33492.92</v>
      </c>
      <c r="O13" s="72">
        <f t="shared" si="2"/>
        <v>37752.089999999997</v>
      </c>
      <c r="P13" s="72">
        <f t="shared" si="2"/>
        <v>38595.94</v>
      </c>
      <c r="Q13" s="72">
        <f t="shared" si="2"/>
        <v>51054.53</v>
      </c>
      <c r="R13" s="72">
        <f>SUM(R7:R12)</f>
        <v>562504.99999999988</v>
      </c>
      <c r="S13" s="140">
        <f t="shared" ref="S13:AD13" si="3">SUM(S7:S12)</f>
        <v>97671.18</v>
      </c>
      <c r="T13" s="140">
        <f t="shared" si="3"/>
        <v>132325.63</v>
      </c>
      <c r="U13" s="140">
        <f t="shared" si="3"/>
        <v>168308.28</v>
      </c>
      <c r="V13" s="140">
        <f t="shared" si="3"/>
        <v>209867.27</v>
      </c>
      <c r="W13" s="140">
        <f t="shared" si="3"/>
        <v>246331.15</v>
      </c>
      <c r="X13" s="140">
        <f t="shared" si="3"/>
        <v>277535.43</v>
      </c>
      <c r="Y13" s="140">
        <f t="shared" si="3"/>
        <v>368825.79</v>
      </c>
      <c r="Z13" s="140">
        <f t="shared" si="3"/>
        <v>401609.51999999996</v>
      </c>
      <c r="AA13" s="140">
        <f t="shared" si="3"/>
        <v>435102.43999999994</v>
      </c>
      <c r="AB13" s="140">
        <f t="shared" si="3"/>
        <v>472854.52999999991</v>
      </c>
      <c r="AC13" s="140">
        <f t="shared" si="3"/>
        <v>511450.46999999991</v>
      </c>
      <c r="AD13" s="140">
        <f t="shared" si="3"/>
        <v>562504.99999999988</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4">ROUND(+$R16/$E16,2)</f>
        <v>833.33</v>
      </c>
      <c r="H16" s="79">
        <f t="shared" si="4"/>
        <v>833.33</v>
      </c>
      <c r="I16" s="79">
        <f t="shared" si="4"/>
        <v>833.33</v>
      </c>
      <c r="J16" s="79">
        <f t="shared" si="4"/>
        <v>833.33</v>
      </c>
      <c r="K16" s="79">
        <f t="shared" si="4"/>
        <v>833.33</v>
      </c>
      <c r="L16" s="79">
        <f t="shared" si="4"/>
        <v>833.33</v>
      </c>
      <c r="M16" s="79">
        <f t="shared" si="4"/>
        <v>833.33</v>
      </c>
      <c r="N16" s="79">
        <f t="shared" si="4"/>
        <v>833.33</v>
      </c>
      <c r="O16" s="79">
        <f t="shared" si="4"/>
        <v>833.33</v>
      </c>
      <c r="P16" s="79">
        <f t="shared" si="4"/>
        <v>833.33</v>
      </c>
      <c r="Q16" s="79">
        <f t="shared" si="4"/>
        <v>833.33</v>
      </c>
      <c r="R16" s="71">
        <v>10000</v>
      </c>
      <c r="S16" s="139">
        <f t="shared" ref="S16:S20" si="5">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6">ROUND(+$R17/$E17,2)</f>
        <v>0</v>
      </c>
      <c r="G17" s="79">
        <f t="shared" si="6"/>
        <v>0</v>
      </c>
      <c r="H17" s="79">
        <f t="shared" si="6"/>
        <v>0</v>
      </c>
      <c r="I17" s="79">
        <f t="shared" si="6"/>
        <v>0</v>
      </c>
      <c r="J17" s="79">
        <f t="shared" si="6"/>
        <v>0</v>
      </c>
      <c r="K17" s="79">
        <f t="shared" si="6"/>
        <v>0</v>
      </c>
      <c r="L17" s="79">
        <f t="shared" si="6"/>
        <v>0</v>
      </c>
      <c r="M17" s="79">
        <f t="shared" si="6"/>
        <v>0</v>
      </c>
      <c r="N17" s="79">
        <f t="shared" si="6"/>
        <v>0</v>
      </c>
      <c r="O17" s="79">
        <f t="shared" si="6"/>
        <v>0</v>
      </c>
      <c r="P17" s="79">
        <f t="shared" si="6"/>
        <v>0</v>
      </c>
      <c r="Q17" s="79">
        <f t="shared" si="6"/>
        <v>0</v>
      </c>
      <c r="R17" s="71">
        <v>0</v>
      </c>
      <c r="S17" s="139">
        <f t="shared" si="5"/>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7">+E$16</f>
        <v>12</v>
      </c>
      <c r="F18" s="79">
        <f t="shared" si="6"/>
        <v>0</v>
      </c>
      <c r="G18" s="79">
        <f t="shared" si="6"/>
        <v>0</v>
      </c>
      <c r="H18" s="79">
        <f t="shared" si="6"/>
        <v>0</v>
      </c>
      <c r="I18" s="79">
        <f t="shared" si="6"/>
        <v>0</v>
      </c>
      <c r="J18" s="79">
        <f t="shared" si="6"/>
        <v>0</v>
      </c>
      <c r="K18" s="79">
        <f t="shared" si="6"/>
        <v>0</v>
      </c>
      <c r="L18" s="79">
        <f t="shared" si="6"/>
        <v>0</v>
      </c>
      <c r="M18" s="79">
        <f t="shared" si="6"/>
        <v>0</v>
      </c>
      <c r="N18" s="79">
        <f t="shared" si="6"/>
        <v>0</v>
      </c>
      <c r="O18" s="79">
        <f t="shared" si="6"/>
        <v>0</v>
      </c>
      <c r="P18" s="79">
        <f t="shared" si="6"/>
        <v>0</v>
      </c>
      <c r="Q18" s="79">
        <f t="shared" si="6"/>
        <v>0</v>
      </c>
      <c r="R18" s="71">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7"/>
        <v>12</v>
      </c>
      <c r="F19" s="79">
        <f t="shared" si="6"/>
        <v>0</v>
      </c>
      <c r="G19" s="79">
        <f t="shared" si="6"/>
        <v>0</v>
      </c>
      <c r="H19" s="79">
        <f t="shared" si="6"/>
        <v>0</v>
      </c>
      <c r="I19" s="79">
        <f t="shared" si="6"/>
        <v>0</v>
      </c>
      <c r="J19" s="79">
        <f t="shared" si="6"/>
        <v>0</v>
      </c>
      <c r="K19" s="79">
        <f t="shared" si="6"/>
        <v>0</v>
      </c>
      <c r="L19" s="79">
        <f t="shared" si="6"/>
        <v>0</v>
      </c>
      <c r="M19" s="79">
        <f t="shared" si="6"/>
        <v>0</v>
      </c>
      <c r="N19" s="79">
        <f t="shared" si="6"/>
        <v>0</v>
      </c>
      <c r="O19" s="79">
        <f t="shared" si="6"/>
        <v>0</v>
      </c>
      <c r="P19" s="79">
        <f t="shared" si="6"/>
        <v>0</v>
      </c>
      <c r="Q19" s="79">
        <f t="shared" si="6"/>
        <v>0</v>
      </c>
      <c r="R19" s="71">
        <v>0</v>
      </c>
      <c r="S19" s="139">
        <f t="shared" si="5"/>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142</v>
      </c>
      <c r="E20" s="101">
        <f t="shared" si="7"/>
        <v>12</v>
      </c>
      <c r="F20" s="79">
        <f t="shared" si="6"/>
        <v>0</v>
      </c>
      <c r="G20" s="79">
        <f t="shared" si="6"/>
        <v>0</v>
      </c>
      <c r="H20" s="79">
        <f t="shared" si="6"/>
        <v>0</v>
      </c>
      <c r="I20" s="79">
        <f t="shared" si="6"/>
        <v>0</v>
      </c>
      <c r="J20" s="79">
        <f t="shared" si="6"/>
        <v>0</v>
      </c>
      <c r="K20" s="79">
        <f t="shared" si="6"/>
        <v>0</v>
      </c>
      <c r="L20" s="79">
        <f t="shared" si="6"/>
        <v>0</v>
      </c>
      <c r="M20" s="79">
        <f t="shared" si="6"/>
        <v>0</v>
      </c>
      <c r="N20" s="79">
        <f t="shared" si="6"/>
        <v>0</v>
      </c>
      <c r="O20" s="79">
        <f t="shared" si="6"/>
        <v>0</v>
      </c>
      <c r="P20" s="79">
        <f t="shared" si="6"/>
        <v>0</v>
      </c>
      <c r="Q20" s="79">
        <f t="shared" si="6"/>
        <v>0</v>
      </c>
      <c r="R20" s="71">
        <v>0</v>
      </c>
      <c r="S20" s="139">
        <f t="shared" si="5"/>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8">SUM(F16:F20)</f>
        <v>833.33</v>
      </c>
      <c r="G21" s="72">
        <f t="shared" si="8"/>
        <v>833.33</v>
      </c>
      <c r="H21" s="72">
        <f t="shared" si="8"/>
        <v>833.33</v>
      </c>
      <c r="I21" s="72">
        <f t="shared" si="8"/>
        <v>833.33</v>
      </c>
      <c r="J21" s="72">
        <f t="shared" si="8"/>
        <v>833.33</v>
      </c>
      <c r="K21" s="72">
        <f t="shared" si="8"/>
        <v>833.33</v>
      </c>
      <c r="L21" s="72">
        <f t="shared" si="8"/>
        <v>833.33</v>
      </c>
      <c r="M21" s="72">
        <f t="shared" si="8"/>
        <v>833.33</v>
      </c>
      <c r="N21" s="72">
        <f t="shared" si="8"/>
        <v>833.33</v>
      </c>
      <c r="O21" s="72">
        <f t="shared" si="8"/>
        <v>833.33</v>
      </c>
      <c r="P21" s="72">
        <f t="shared" si="8"/>
        <v>833.33</v>
      </c>
      <c r="Q21" s="72">
        <f t="shared" si="8"/>
        <v>833.33</v>
      </c>
      <c r="R21" s="72">
        <f>SUM(R16:R20)</f>
        <v>10000</v>
      </c>
      <c r="S21" s="140">
        <f t="shared" ref="S21:AD21" si="9">SUM(S16:S20)</f>
        <v>833.33</v>
      </c>
      <c r="T21" s="140">
        <f t="shared" si="9"/>
        <v>1666.66</v>
      </c>
      <c r="U21" s="140">
        <f t="shared" si="9"/>
        <v>2499.9900000000002</v>
      </c>
      <c r="V21" s="140">
        <f t="shared" si="9"/>
        <v>3333.32</v>
      </c>
      <c r="W21" s="140">
        <f t="shared" si="9"/>
        <v>4166.6500000000005</v>
      </c>
      <c r="X21" s="140">
        <f t="shared" si="9"/>
        <v>4999.9800000000005</v>
      </c>
      <c r="Y21" s="140">
        <f t="shared" si="9"/>
        <v>5833.31</v>
      </c>
      <c r="Z21" s="140">
        <f t="shared" si="9"/>
        <v>6666.64</v>
      </c>
      <c r="AA21" s="140">
        <f t="shared" si="9"/>
        <v>7499.97</v>
      </c>
      <c r="AB21" s="140">
        <f t="shared" si="9"/>
        <v>8333.3000000000011</v>
      </c>
      <c r="AC21" s="140">
        <f t="shared" si="9"/>
        <v>9166.630000000001</v>
      </c>
      <c r="AD21" s="140">
        <f t="shared" si="9"/>
        <v>9999.9600000000009</v>
      </c>
    </row>
    <row r="22" spans="1:31" x14ac:dyDescent="0.25">
      <c r="A22" s="106">
        <v>17</v>
      </c>
      <c r="B22" s="15" t="s">
        <v>14</v>
      </c>
      <c r="C22" s="15"/>
      <c r="D22" s="15"/>
      <c r="E22" s="90"/>
      <c r="F22" s="72">
        <f t="shared" ref="F22:Q22" si="10">+F13+F21</f>
        <v>98504.51</v>
      </c>
      <c r="G22" s="72">
        <f t="shared" si="10"/>
        <v>35487.78</v>
      </c>
      <c r="H22" s="72">
        <f t="shared" si="10"/>
        <v>36815.980000000003</v>
      </c>
      <c r="I22" s="72">
        <f t="shared" si="10"/>
        <v>42392.32</v>
      </c>
      <c r="J22" s="72">
        <f t="shared" si="10"/>
        <v>37297.21</v>
      </c>
      <c r="K22" s="72">
        <f t="shared" si="10"/>
        <v>32037.61</v>
      </c>
      <c r="L22" s="72">
        <f t="shared" si="10"/>
        <v>92123.69</v>
      </c>
      <c r="M22" s="72">
        <f t="shared" si="10"/>
        <v>33617.060000000005</v>
      </c>
      <c r="N22" s="72">
        <f t="shared" si="10"/>
        <v>34326.25</v>
      </c>
      <c r="O22" s="72">
        <f t="shared" si="10"/>
        <v>38585.42</v>
      </c>
      <c r="P22" s="72">
        <f t="shared" si="10"/>
        <v>39429.270000000004</v>
      </c>
      <c r="Q22" s="72">
        <f t="shared" si="10"/>
        <v>51887.86</v>
      </c>
      <c r="R22" s="72">
        <f>+R13+R21</f>
        <v>572504.99999999988</v>
      </c>
      <c r="S22" s="140">
        <f t="shared" ref="S22:AD22" si="11">+S13+S21</f>
        <v>98504.51</v>
      </c>
      <c r="T22" s="140">
        <f t="shared" si="11"/>
        <v>133992.29</v>
      </c>
      <c r="U22" s="140">
        <f t="shared" si="11"/>
        <v>170808.27</v>
      </c>
      <c r="V22" s="140">
        <f t="shared" si="11"/>
        <v>213200.59</v>
      </c>
      <c r="W22" s="140">
        <f t="shared" si="11"/>
        <v>250497.8</v>
      </c>
      <c r="X22" s="140">
        <f t="shared" si="11"/>
        <v>282535.40999999997</v>
      </c>
      <c r="Y22" s="140">
        <f t="shared" si="11"/>
        <v>374659.1</v>
      </c>
      <c r="Z22" s="140">
        <f t="shared" si="11"/>
        <v>408276.16</v>
      </c>
      <c r="AA22" s="140">
        <f t="shared" si="11"/>
        <v>442602.40999999992</v>
      </c>
      <c r="AB22" s="140">
        <f t="shared" si="11"/>
        <v>481187.8299999999</v>
      </c>
      <c r="AC22" s="140">
        <f t="shared" si="11"/>
        <v>520617.09999999992</v>
      </c>
      <c r="AD22" s="140">
        <f t="shared" si="11"/>
        <v>572504.95999999985</v>
      </c>
      <c r="AE22" s="1">
        <f>+AD22*0.033</f>
        <v>18892.663679999994</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137</v>
      </c>
      <c r="S25" s="137"/>
      <c r="T25" s="137"/>
      <c r="U25" s="137"/>
      <c r="V25" s="137"/>
      <c r="W25" s="137"/>
      <c r="X25" s="137"/>
      <c r="Y25" s="137"/>
      <c r="Z25" s="137"/>
      <c r="AA25" s="137"/>
      <c r="AB25" s="137"/>
      <c r="AC25" s="137"/>
      <c r="AD25" s="137"/>
    </row>
    <row r="26" spans="1:31" x14ac:dyDescent="0.25">
      <c r="A26" s="106">
        <v>21</v>
      </c>
      <c r="C26" s="1" t="s">
        <v>17</v>
      </c>
      <c r="R26" s="35">
        <f>+R22</f>
        <v>572504.99999999988</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-5000</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-1400</v>
      </c>
      <c r="S29" s="138"/>
      <c r="T29" s="138"/>
      <c r="U29" s="138"/>
      <c r="V29" s="138"/>
      <c r="W29" s="138"/>
      <c r="X29" s="138"/>
      <c r="Y29" s="138"/>
      <c r="Z29" s="138"/>
      <c r="AA29" s="138"/>
      <c r="AB29" s="138"/>
      <c r="AC29" s="138"/>
      <c r="AD29" s="138"/>
    </row>
    <row r="30" spans="1:31" x14ac:dyDescent="0.25">
      <c r="A30" s="106">
        <v>25</v>
      </c>
      <c r="C30" s="1" t="s">
        <v>17</v>
      </c>
      <c r="R30" s="35">
        <f>SUM(R26:R29)</f>
        <v>511204.99999999988</v>
      </c>
      <c r="S30" s="137"/>
      <c r="T30" s="137"/>
      <c r="U30" s="137"/>
      <c r="V30" s="137"/>
      <c r="W30" s="137"/>
      <c r="X30" s="137"/>
      <c r="Y30" s="137"/>
      <c r="Z30" s="137"/>
      <c r="AA30" s="137"/>
      <c r="AB30" s="137"/>
      <c r="AC30" s="137"/>
      <c r="AD30" s="137"/>
    </row>
    <row r="31" spans="1:31" s="5" customFormat="1" x14ac:dyDescent="0.25">
      <c r="A31" s="106">
        <v>26</v>
      </c>
      <c r="B31" s="18"/>
      <c r="C31" s="19" t="s">
        <v>138</v>
      </c>
      <c r="D31" s="18"/>
      <c r="E31" s="91"/>
      <c r="F31" s="84">
        <v>2848.41</v>
      </c>
      <c r="G31" s="84">
        <v>2848.41</v>
      </c>
      <c r="H31" s="84">
        <v>7035.91</v>
      </c>
      <c r="I31" s="84">
        <v>2848.41</v>
      </c>
      <c r="J31" s="84">
        <v>2848.41</v>
      </c>
      <c r="K31" s="84">
        <v>7085.91</v>
      </c>
      <c r="L31" s="84">
        <v>2988.41</v>
      </c>
      <c r="M31" s="84">
        <v>2848.41</v>
      </c>
      <c r="N31" s="84">
        <v>7035.91</v>
      </c>
      <c r="O31" s="84">
        <v>2848.41</v>
      </c>
      <c r="P31" s="84">
        <v>2848.41</v>
      </c>
      <c r="Q31" s="103">
        <f>R31-SUM(F31:P31)</f>
        <v>7035.9899999999907</v>
      </c>
      <c r="R31" s="73">
        <f>ROUND(+R30*0.1,0)</f>
        <v>51121</v>
      </c>
      <c r="S31" s="143">
        <f>SUM(F31)</f>
        <v>2848.41</v>
      </c>
      <c r="T31" s="143">
        <f>SUM($F31:G31)</f>
        <v>5696.82</v>
      </c>
      <c r="U31" s="143">
        <f>SUM($F31:H31)</f>
        <v>12732.73</v>
      </c>
      <c r="V31" s="143">
        <f>SUM($F31:I31)</f>
        <v>15581.14</v>
      </c>
      <c r="W31" s="143">
        <f>SUM($F31:J31)</f>
        <v>18429.55</v>
      </c>
      <c r="X31" s="143">
        <f>SUM($F31:K31)</f>
        <v>25515.46</v>
      </c>
      <c r="Y31" s="143">
        <f>SUM($F31:L31)</f>
        <v>28503.87</v>
      </c>
      <c r="Z31" s="143">
        <f>SUM($F31:M31)</f>
        <v>31352.28</v>
      </c>
      <c r="AA31" s="143">
        <f>SUM($F31:N31)</f>
        <v>38388.19</v>
      </c>
      <c r="AB31" s="143">
        <f>SUM($F31:O31)</f>
        <v>41236.600000000006</v>
      </c>
      <c r="AC31" s="143">
        <f>SUM($F31:P31)</f>
        <v>44085.010000000009</v>
      </c>
      <c r="AD31" s="143">
        <f>SUM($F31:Q31)</f>
        <v>51121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2">+E$16</f>
        <v>12</v>
      </c>
      <c r="F35" s="79">
        <f t="shared" ref="F35:Q36" si="13">ROUND(+$R35/$E35,2)</f>
        <v>333.33</v>
      </c>
      <c r="G35" s="79">
        <f t="shared" si="13"/>
        <v>333.33</v>
      </c>
      <c r="H35" s="79">
        <f t="shared" si="13"/>
        <v>333.33</v>
      </c>
      <c r="I35" s="79">
        <f t="shared" si="13"/>
        <v>333.33</v>
      </c>
      <c r="J35" s="79">
        <f t="shared" si="13"/>
        <v>333.33</v>
      </c>
      <c r="K35" s="79">
        <f t="shared" si="13"/>
        <v>333.33</v>
      </c>
      <c r="L35" s="79">
        <f t="shared" si="13"/>
        <v>333.33</v>
      </c>
      <c r="M35" s="79">
        <f t="shared" si="13"/>
        <v>333.33</v>
      </c>
      <c r="N35" s="79">
        <f t="shared" si="13"/>
        <v>333.33</v>
      </c>
      <c r="O35" s="79">
        <f t="shared" si="13"/>
        <v>333.33</v>
      </c>
      <c r="P35" s="79">
        <f t="shared" si="13"/>
        <v>333.33</v>
      </c>
      <c r="Q35" s="79">
        <f t="shared" si="13"/>
        <v>333.33</v>
      </c>
      <c r="R35" s="71">
        <v>4000</v>
      </c>
      <c r="S35" s="139">
        <f t="shared" ref="S35:S40" si="14">SUM(F35)</f>
        <v>333.33</v>
      </c>
      <c r="T35" s="139">
        <f>SUM($F35:G35)</f>
        <v>666.66</v>
      </c>
      <c r="U35" s="139">
        <f>SUM($F35:H35)</f>
        <v>999.99</v>
      </c>
      <c r="V35" s="139">
        <f>SUM($F35:I35)</f>
        <v>1333.32</v>
      </c>
      <c r="W35" s="139">
        <f>SUM($F35:J35)</f>
        <v>1666.6499999999999</v>
      </c>
      <c r="X35" s="139">
        <f>SUM($F35:K35)</f>
        <v>1999.9799999999998</v>
      </c>
      <c r="Y35" s="139">
        <f>SUM($F35:L35)</f>
        <v>2333.31</v>
      </c>
      <c r="Z35" s="139">
        <f>SUM($F35:M35)</f>
        <v>2666.64</v>
      </c>
      <c r="AA35" s="139">
        <f>SUM($F35:N35)</f>
        <v>2999.97</v>
      </c>
      <c r="AB35" s="139">
        <f>SUM($F35:O35)</f>
        <v>3333.2999999999997</v>
      </c>
      <c r="AC35" s="139">
        <f>SUM($F35:P35)</f>
        <v>3666.6299999999997</v>
      </c>
      <c r="AD35" s="139">
        <f>SUM($F35:Q35)</f>
        <v>3999.9599999999996</v>
      </c>
    </row>
    <row r="36" spans="1:30" x14ac:dyDescent="0.25">
      <c r="A36" s="106">
        <v>31</v>
      </c>
      <c r="C36" s="1" t="s">
        <v>21</v>
      </c>
      <c r="E36" s="101">
        <f t="shared" si="12"/>
        <v>12</v>
      </c>
      <c r="F36" s="79">
        <f t="shared" si="13"/>
        <v>62.5</v>
      </c>
      <c r="G36" s="79">
        <f t="shared" si="13"/>
        <v>62.5</v>
      </c>
      <c r="H36" s="79">
        <f t="shared" si="13"/>
        <v>62.5</v>
      </c>
      <c r="I36" s="79">
        <f t="shared" si="13"/>
        <v>62.5</v>
      </c>
      <c r="J36" s="79">
        <f t="shared" si="13"/>
        <v>62.5</v>
      </c>
      <c r="K36" s="79">
        <f t="shared" si="13"/>
        <v>62.5</v>
      </c>
      <c r="L36" s="79">
        <f t="shared" si="13"/>
        <v>62.5</v>
      </c>
      <c r="M36" s="79">
        <f t="shared" si="13"/>
        <v>62.5</v>
      </c>
      <c r="N36" s="79">
        <f t="shared" si="13"/>
        <v>62.5</v>
      </c>
      <c r="O36" s="79">
        <f t="shared" si="13"/>
        <v>62.5</v>
      </c>
      <c r="P36" s="79">
        <f t="shared" si="13"/>
        <v>62.5</v>
      </c>
      <c r="Q36" s="79">
        <f t="shared" si="13"/>
        <v>62.5</v>
      </c>
      <c r="R36" s="71">
        <v>750</v>
      </c>
      <c r="S36" s="139">
        <f t="shared" si="14"/>
        <v>62.5</v>
      </c>
      <c r="T36" s="139">
        <f>SUM($F36:G36)</f>
        <v>125</v>
      </c>
      <c r="U36" s="139">
        <f>SUM($F36:H36)</f>
        <v>187.5</v>
      </c>
      <c r="V36" s="139">
        <f>SUM($F36:I36)</f>
        <v>250</v>
      </c>
      <c r="W36" s="139">
        <f>SUM($F36:J36)</f>
        <v>312.5</v>
      </c>
      <c r="X36" s="139">
        <f>SUM($F36:K36)</f>
        <v>375</v>
      </c>
      <c r="Y36" s="139">
        <f>SUM($F36:L36)</f>
        <v>437.5</v>
      </c>
      <c r="Z36" s="139">
        <f>SUM($F36:M36)</f>
        <v>500</v>
      </c>
      <c r="AA36" s="139">
        <f>SUM($F36:N36)</f>
        <v>562.5</v>
      </c>
      <c r="AB36" s="139">
        <f>SUM($F36:O36)</f>
        <v>625</v>
      </c>
      <c r="AC36" s="139">
        <f>SUM($F36:P36)</f>
        <v>687.5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14"/>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15">+E$16</f>
        <v>12</v>
      </c>
      <c r="F38" s="79">
        <f>ROUND(+$R38/$E38,2)</f>
        <v>41.67</v>
      </c>
      <c r="G38" s="79">
        <f t="shared" ref="G38:Q38" si="16">ROUND(+$R38/$E38,2)</f>
        <v>41.67</v>
      </c>
      <c r="H38" s="79">
        <f t="shared" si="16"/>
        <v>41.67</v>
      </c>
      <c r="I38" s="79">
        <f t="shared" si="16"/>
        <v>41.67</v>
      </c>
      <c r="J38" s="79">
        <f t="shared" si="16"/>
        <v>41.67</v>
      </c>
      <c r="K38" s="79">
        <f t="shared" si="16"/>
        <v>41.67</v>
      </c>
      <c r="L38" s="79">
        <f t="shared" si="16"/>
        <v>41.67</v>
      </c>
      <c r="M38" s="79">
        <f t="shared" si="16"/>
        <v>41.67</v>
      </c>
      <c r="N38" s="79">
        <f t="shared" si="16"/>
        <v>41.67</v>
      </c>
      <c r="O38" s="79">
        <f t="shared" si="16"/>
        <v>41.67</v>
      </c>
      <c r="P38" s="79">
        <f t="shared" si="16"/>
        <v>41.67</v>
      </c>
      <c r="Q38" s="79">
        <f t="shared" si="16"/>
        <v>41.67</v>
      </c>
      <c r="R38" s="71">
        <v>500</v>
      </c>
      <c r="S38" s="139">
        <f t="shared" si="14"/>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14"/>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124</v>
      </c>
      <c r="E40" s="101">
        <f t="shared" ref="E40" si="17">+E$16</f>
        <v>12</v>
      </c>
      <c r="F40" s="79">
        <f>ROUND(+$R40/$E40,2)</f>
        <v>83.33</v>
      </c>
      <c r="G40" s="79">
        <f t="shared" ref="G40:Q40" si="18">ROUND(+$R40/$E40,2)</f>
        <v>83.33</v>
      </c>
      <c r="H40" s="79">
        <f t="shared" si="18"/>
        <v>83.33</v>
      </c>
      <c r="I40" s="79">
        <f t="shared" si="18"/>
        <v>83.33</v>
      </c>
      <c r="J40" s="79">
        <f t="shared" si="18"/>
        <v>83.33</v>
      </c>
      <c r="K40" s="79">
        <f t="shared" si="18"/>
        <v>83.33</v>
      </c>
      <c r="L40" s="79">
        <f t="shared" si="18"/>
        <v>83.33</v>
      </c>
      <c r="M40" s="79">
        <f t="shared" si="18"/>
        <v>83.33</v>
      </c>
      <c r="N40" s="79">
        <f t="shared" si="18"/>
        <v>83.33</v>
      </c>
      <c r="O40" s="79">
        <f t="shared" si="18"/>
        <v>83.33</v>
      </c>
      <c r="P40" s="79">
        <f t="shared" si="18"/>
        <v>83.33</v>
      </c>
      <c r="Q40" s="79">
        <f t="shared" si="18"/>
        <v>83.33</v>
      </c>
      <c r="R40" s="71">
        <v>1000</v>
      </c>
      <c r="S40" s="139">
        <f t="shared" si="14"/>
        <v>83.33</v>
      </c>
      <c r="T40" s="139">
        <f>SUM($F40:G40)</f>
        <v>166.66</v>
      </c>
      <c r="U40" s="139">
        <f>SUM($F40:H40)</f>
        <v>249.99</v>
      </c>
      <c r="V40" s="139">
        <f>SUM($F40:I40)</f>
        <v>333.32</v>
      </c>
      <c r="W40" s="139">
        <f>SUM($F40:J40)</f>
        <v>416.65</v>
      </c>
      <c r="X40" s="139">
        <f>SUM($F40:K40)</f>
        <v>499.97999999999996</v>
      </c>
      <c r="Y40" s="139">
        <f>SUM($F40:L40)</f>
        <v>583.30999999999995</v>
      </c>
      <c r="Z40" s="139">
        <f>SUM($F40:M40)</f>
        <v>666.64</v>
      </c>
      <c r="AA40" s="139">
        <f>SUM($F40:N40)</f>
        <v>749.97</v>
      </c>
      <c r="AB40" s="139">
        <f>SUM($F40:O40)</f>
        <v>833.30000000000007</v>
      </c>
      <c r="AC40" s="139">
        <f>SUM($F40:P40)</f>
        <v>916.63000000000011</v>
      </c>
      <c r="AD40" s="139">
        <f>SUM($F40:Q40)</f>
        <v>999.96000000000015</v>
      </c>
    </row>
    <row r="41" spans="1:30" s="5" customFormat="1" x14ac:dyDescent="0.25">
      <c r="A41" s="106">
        <v>36</v>
      </c>
      <c r="B41" s="51" t="s">
        <v>25</v>
      </c>
      <c r="C41" s="51"/>
      <c r="D41" s="51"/>
      <c r="E41" s="93"/>
      <c r="F41" s="75">
        <f t="shared" ref="F41:Q41" si="19">SUM(F35:F40)</f>
        <v>520.83000000000004</v>
      </c>
      <c r="G41" s="75">
        <f t="shared" si="19"/>
        <v>520.83000000000004</v>
      </c>
      <c r="H41" s="75">
        <f t="shared" si="19"/>
        <v>587.49</v>
      </c>
      <c r="I41" s="75">
        <f t="shared" si="19"/>
        <v>587.5</v>
      </c>
      <c r="J41" s="75">
        <f t="shared" si="19"/>
        <v>587.5</v>
      </c>
      <c r="K41" s="75">
        <f t="shared" si="19"/>
        <v>520.83000000000004</v>
      </c>
      <c r="L41" s="75">
        <f t="shared" si="19"/>
        <v>520.83000000000004</v>
      </c>
      <c r="M41" s="75">
        <f t="shared" si="19"/>
        <v>1270.83</v>
      </c>
      <c r="N41" s="75">
        <f t="shared" si="19"/>
        <v>520.83000000000004</v>
      </c>
      <c r="O41" s="75">
        <f t="shared" si="19"/>
        <v>520.83000000000004</v>
      </c>
      <c r="P41" s="75">
        <f t="shared" si="19"/>
        <v>520.83000000000004</v>
      </c>
      <c r="Q41" s="75">
        <f t="shared" si="19"/>
        <v>520.83000000000004</v>
      </c>
      <c r="R41" s="75">
        <f>SUM(R35:R40)</f>
        <v>7200</v>
      </c>
      <c r="S41" s="145">
        <f t="shared" ref="S41:AD41" si="20">SUM(S35:S40)</f>
        <v>520.83000000000004</v>
      </c>
      <c r="T41" s="145">
        <f t="shared" si="20"/>
        <v>1041.6600000000001</v>
      </c>
      <c r="U41" s="145">
        <f t="shared" si="20"/>
        <v>1629.15</v>
      </c>
      <c r="V41" s="145">
        <f t="shared" si="20"/>
        <v>2216.65</v>
      </c>
      <c r="W41" s="145">
        <f t="shared" si="20"/>
        <v>2804.15</v>
      </c>
      <c r="X41" s="145">
        <f t="shared" si="20"/>
        <v>3324.9799999999996</v>
      </c>
      <c r="Y41" s="145">
        <f t="shared" si="20"/>
        <v>3845.81</v>
      </c>
      <c r="Z41" s="145">
        <f t="shared" si="20"/>
        <v>5116.6400000000003</v>
      </c>
      <c r="AA41" s="145">
        <f t="shared" si="20"/>
        <v>5637.4699999999993</v>
      </c>
      <c r="AB41" s="145">
        <f t="shared" si="20"/>
        <v>6158.2999999999993</v>
      </c>
      <c r="AC41" s="145">
        <f t="shared" si="20"/>
        <v>6679.1299999999992</v>
      </c>
      <c r="AD41" s="145">
        <f t="shared" si="20"/>
        <v>7199.9599999999991</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1">+E$16</f>
        <v>12</v>
      </c>
      <c r="F43" s="85">
        <f>ROUND(+$R43/$E43,2)</f>
        <v>91.67</v>
      </c>
      <c r="G43" s="85">
        <f t="shared" ref="G43:Q43" si="22">ROUND(+$R43/$E43,2)</f>
        <v>91.67</v>
      </c>
      <c r="H43" s="85">
        <f t="shared" si="22"/>
        <v>91.67</v>
      </c>
      <c r="I43" s="85">
        <f t="shared" si="22"/>
        <v>91.67</v>
      </c>
      <c r="J43" s="85">
        <f t="shared" si="22"/>
        <v>91.67</v>
      </c>
      <c r="K43" s="85">
        <f t="shared" si="22"/>
        <v>91.67</v>
      </c>
      <c r="L43" s="85">
        <f t="shared" si="22"/>
        <v>91.67</v>
      </c>
      <c r="M43" s="85">
        <f t="shared" si="22"/>
        <v>91.67</v>
      </c>
      <c r="N43" s="85">
        <f t="shared" si="22"/>
        <v>91.67</v>
      </c>
      <c r="O43" s="85">
        <f t="shared" si="22"/>
        <v>91.67</v>
      </c>
      <c r="P43" s="85">
        <f t="shared" si="22"/>
        <v>91.67</v>
      </c>
      <c r="Q43" s="85">
        <f t="shared" si="22"/>
        <v>91.67</v>
      </c>
      <c r="R43" s="76">
        <v>1100</v>
      </c>
      <c r="S43" s="147">
        <f t="shared" ref="S43" si="23">SUM(F43)</f>
        <v>91.67</v>
      </c>
      <c r="T43" s="147">
        <f>SUM($F43:G43)</f>
        <v>183.34</v>
      </c>
      <c r="U43" s="147">
        <f>SUM($F43:H43)</f>
        <v>275.01</v>
      </c>
      <c r="V43" s="147">
        <f>SUM($F43:I43)</f>
        <v>366.68</v>
      </c>
      <c r="W43" s="147">
        <f>SUM($F43:J43)</f>
        <v>458.35</v>
      </c>
      <c r="X43" s="147">
        <f>SUM($F43:K43)</f>
        <v>550.02</v>
      </c>
      <c r="Y43" s="147">
        <f>SUM($F43:L43)</f>
        <v>641.68999999999994</v>
      </c>
      <c r="Z43" s="147">
        <f>SUM($F43:M43)</f>
        <v>733.3599999999999</v>
      </c>
      <c r="AA43" s="147">
        <f>SUM($F43:N43)</f>
        <v>825.02999999999986</v>
      </c>
      <c r="AB43" s="147">
        <f>SUM($F43:O43)</f>
        <v>916.69999999999982</v>
      </c>
      <c r="AC43" s="147">
        <f>SUM($F43:P43)</f>
        <v>1008.3699999999998</v>
      </c>
      <c r="AD43" s="147">
        <f>SUM($F43:Q43)</f>
        <v>1100.0399999999997</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4">+E$16</f>
        <v>12</v>
      </c>
      <c r="F46" s="79">
        <f t="shared" ref="F46:Q49" si="25">ROUND(+$R46/$E46,2)</f>
        <v>333.33</v>
      </c>
      <c r="G46" s="79">
        <f t="shared" si="25"/>
        <v>333.33</v>
      </c>
      <c r="H46" s="79">
        <f t="shared" si="25"/>
        <v>333.33</v>
      </c>
      <c r="I46" s="79">
        <f t="shared" si="25"/>
        <v>333.33</v>
      </c>
      <c r="J46" s="79">
        <f t="shared" si="25"/>
        <v>333.33</v>
      </c>
      <c r="K46" s="79">
        <f t="shared" si="25"/>
        <v>333.33</v>
      </c>
      <c r="L46" s="79">
        <f t="shared" si="25"/>
        <v>333.33</v>
      </c>
      <c r="M46" s="79">
        <f t="shared" si="25"/>
        <v>333.33</v>
      </c>
      <c r="N46" s="79">
        <f t="shared" si="25"/>
        <v>333.33</v>
      </c>
      <c r="O46" s="79">
        <f t="shared" si="25"/>
        <v>333.33</v>
      </c>
      <c r="P46" s="79">
        <f t="shared" si="25"/>
        <v>333.33</v>
      </c>
      <c r="Q46" s="79">
        <f t="shared" si="25"/>
        <v>333.33</v>
      </c>
      <c r="R46" s="71">
        <v>4000</v>
      </c>
      <c r="S46" s="139">
        <f t="shared" ref="S46:S49" si="26">SUM(F46)</f>
        <v>333.33</v>
      </c>
      <c r="T46" s="139">
        <f>SUM($F46:G46)</f>
        <v>666.66</v>
      </c>
      <c r="U46" s="139">
        <f>SUM($F46:H46)</f>
        <v>999.99</v>
      </c>
      <c r="V46" s="139">
        <f>SUM($F46:I46)</f>
        <v>1333.32</v>
      </c>
      <c r="W46" s="139">
        <f>SUM($F46:J46)</f>
        <v>1666.6499999999999</v>
      </c>
      <c r="X46" s="139">
        <f>SUM($F46:K46)</f>
        <v>1999.9799999999998</v>
      </c>
      <c r="Y46" s="139">
        <f>SUM($F46:L46)</f>
        <v>2333.31</v>
      </c>
      <c r="Z46" s="139">
        <f>SUM($F46:M46)</f>
        <v>2666.64</v>
      </c>
      <c r="AA46" s="139">
        <f>SUM($F46:N46)</f>
        <v>2999.97</v>
      </c>
      <c r="AB46" s="139">
        <f>SUM($F46:O46)</f>
        <v>3333.2999999999997</v>
      </c>
      <c r="AC46" s="139">
        <f>SUM($F46:P46)</f>
        <v>3666.6299999999997</v>
      </c>
      <c r="AD46" s="139">
        <f>SUM($F46:Q46)</f>
        <v>3999.9599999999996</v>
      </c>
    </row>
    <row r="47" spans="1:30" x14ac:dyDescent="0.25">
      <c r="A47" s="106">
        <v>42</v>
      </c>
      <c r="C47" s="1" t="s">
        <v>30</v>
      </c>
      <c r="E47" s="101">
        <f t="shared" si="24"/>
        <v>12</v>
      </c>
      <c r="F47" s="79">
        <f t="shared" si="25"/>
        <v>216.67</v>
      </c>
      <c r="G47" s="79">
        <f t="shared" si="25"/>
        <v>216.67</v>
      </c>
      <c r="H47" s="79">
        <f t="shared" si="25"/>
        <v>216.67</v>
      </c>
      <c r="I47" s="79">
        <f t="shared" si="25"/>
        <v>216.67</v>
      </c>
      <c r="J47" s="79">
        <f t="shared" si="25"/>
        <v>216.67</v>
      </c>
      <c r="K47" s="79">
        <f t="shared" si="25"/>
        <v>216.67</v>
      </c>
      <c r="L47" s="79">
        <f t="shared" si="25"/>
        <v>216.67</v>
      </c>
      <c r="M47" s="79">
        <f t="shared" si="25"/>
        <v>216.67</v>
      </c>
      <c r="N47" s="79">
        <f t="shared" si="25"/>
        <v>216.67</v>
      </c>
      <c r="O47" s="79">
        <f t="shared" si="25"/>
        <v>216.67</v>
      </c>
      <c r="P47" s="79">
        <f t="shared" si="25"/>
        <v>216.67</v>
      </c>
      <c r="Q47" s="79">
        <f t="shared" si="25"/>
        <v>216.67</v>
      </c>
      <c r="R47" s="71">
        <f>ROUND(52*50,0)</f>
        <v>2600</v>
      </c>
      <c r="S47" s="139">
        <f t="shared" si="26"/>
        <v>216.67</v>
      </c>
      <c r="T47" s="139">
        <f>SUM($F47:G47)</f>
        <v>433.34</v>
      </c>
      <c r="U47" s="139">
        <f>SUM($F47:H47)</f>
        <v>650.01</v>
      </c>
      <c r="V47" s="139">
        <f>SUM($F47:I47)</f>
        <v>866.68</v>
      </c>
      <c r="W47" s="139">
        <f>SUM($F47:J47)</f>
        <v>1083.3499999999999</v>
      </c>
      <c r="X47" s="139">
        <f>SUM($F47:K47)</f>
        <v>1300.02</v>
      </c>
      <c r="Y47" s="139">
        <f>SUM($F47:L47)</f>
        <v>1516.69</v>
      </c>
      <c r="Z47" s="139">
        <f>SUM($F47:M47)</f>
        <v>1733.3600000000001</v>
      </c>
      <c r="AA47" s="139">
        <f>SUM($F47:N47)</f>
        <v>1950.0300000000002</v>
      </c>
      <c r="AB47" s="139">
        <f>SUM($F47:O47)</f>
        <v>2166.7000000000003</v>
      </c>
      <c r="AC47" s="139">
        <f>SUM($F47:P47)</f>
        <v>2383.3700000000003</v>
      </c>
      <c r="AD47" s="139">
        <f>SUM($F47:Q47)</f>
        <v>2600.0400000000004</v>
      </c>
    </row>
    <row r="48" spans="1:30" x14ac:dyDescent="0.25">
      <c r="A48" s="106">
        <v>43</v>
      </c>
      <c r="C48" s="1" t="s">
        <v>31</v>
      </c>
      <c r="E48" s="101">
        <f t="shared" si="24"/>
        <v>12</v>
      </c>
      <c r="F48" s="79">
        <f t="shared" si="25"/>
        <v>100</v>
      </c>
      <c r="G48" s="79">
        <f t="shared" si="25"/>
        <v>100</v>
      </c>
      <c r="H48" s="79">
        <f t="shared" si="25"/>
        <v>100</v>
      </c>
      <c r="I48" s="79">
        <f t="shared" si="25"/>
        <v>100</v>
      </c>
      <c r="J48" s="79">
        <f t="shared" si="25"/>
        <v>100</v>
      </c>
      <c r="K48" s="79">
        <f t="shared" si="25"/>
        <v>100</v>
      </c>
      <c r="L48" s="79">
        <f t="shared" si="25"/>
        <v>100</v>
      </c>
      <c r="M48" s="79">
        <f t="shared" si="25"/>
        <v>100</v>
      </c>
      <c r="N48" s="79">
        <f t="shared" si="25"/>
        <v>100</v>
      </c>
      <c r="O48" s="79">
        <f t="shared" si="25"/>
        <v>100</v>
      </c>
      <c r="P48" s="79">
        <f t="shared" si="25"/>
        <v>100</v>
      </c>
      <c r="Q48" s="79">
        <f t="shared" si="25"/>
        <v>100</v>
      </c>
      <c r="R48" s="71">
        <v>1200</v>
      </c>
      <c r="S48" s="139">
        <f t="shared" si="26"/>
        <v>100</v>
      </c>
      <c r="T48" s="139">
        <f>SUM($F48:G48)</f>
        <v>200</v>
      </c>
      <c r="U48" s="139">
        <f>SUM($F48:H48)</f>
        <v>300</v>
      </c>
      <c r="V48" s="139">
        <f>SUM($F48:I48)</f>
        <v>400</v>
      </c>
      <c r="W48" s="139">
        <f>SUM($F48:J48)</f>
        <v>500</v>
      </c>
      <c r="X48" s="139">
        <f>SUM($F48:K48)</f>
        <v>600</v>
      </c>
      <c r="Y48" s="139">
        <f>SUM($F48:L48)</f>
        <v>700</v>
      </c>
      <c r="Z48" s="139">
        <f>SUM($F48:M48)</f>
        <v>800</v>
      </c>
      <c r="AA48" s="139">
        <f>SUM($F48:N48)</f>
        <v>900</v>
      </c>
      <c r="AB48" s="139">
        <f>SUM($F48:O48)</f>
        <v>1000</v>
      </c>
      <c r="AC48" s="139">
        <f>SUM($F48:P48)</f>
        <v>1100</v>
      </c>
      <c r="AD48" s="139">
        <f>SUM($F48:Q48)</f>
        <v>1200</v>
      </c>
    </row>
    <row r="49" spans="1:30" x14ac:dyDescent="0.25">
      <c r="A49" s="106">
        <v>44</v>
      </c>
      <c r="C49" s="1" t="s">
        <v>32</v>
      </c>
      <c r="E49" s="101">
        <f t="shared" si="24"/>
        <v>12</v>
      </c>
      <c r="F49" s="79">
        <f t="shared" si="25"/>
        <v>25</v>
      </c>
      <c r="G49" s="79">
        <f t="shared" si="25"/>
        <v>25</v>
      </c>
      <c r="H49" s="79">
        <f t="shared" si="25"/>
        <v>25</v>
      </c>
      <c r="I49" s="79">
        <f t="shared" si="25"/>
        <v>25</v>
      </c>
      <c r="J49" s="79">
        <f t="shared" si="25"/>
        <v>25</v>
      </c>
      <c r="K49" s="79">
        <f t="shared" si="25"/>
        <v>25</v>
      </c>
      <c r="L49" s="79">
        <f t="shared" si="25"/>
        <v>25</v>
      </c>
      <c r="M49" s="79">
        <f t="shared" si="25"/>
        <v>25</v>
      </c>
      <c r="N49" s="79">
        <f t="shared" si="25"/>
        <v>25</v>
      </c>
      <c r="O49" s="79">
        <f t="shared" si="25"/>
        <v>25</v>
      </c>
      <c r="P49" s="79">
        <f t="shared" si="25"/>
        <v>25</v>
      </c>
      <c r="Q49" s="79">
        <f t="shared" si="25"/>
        <v>25</v>
      </c>
      <c r="R49" s="71">
        <v>300</v>
      </c>
      <c r="S49" s="139">
        <f t="shared" si="26"/>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Q50" si="27">SUM(F46:F49)</f>
        <v>675</v>
      </c>
      <c r="G50" s="75">
        <f t="shared" si="27"/>
        <v>675</v>
      </c>
      <c r="H50" s="75">
        <f t="shared" si="27"/>
        <v>675</v>
      </c>
      <c r="I50" s="75">
        <f t="shared" si="27"/>
        <v>675</v>
      </c>
      <c r="J50" s="75">
        <f t="shared" si="27"/>
        <v>675</v>
      </c>
      <c r="K50" s="75">
        <f t="shared" si="27"/>
        <v>675</v>
      </c>
      <c r="L50" s="75">
        <f t="shared" si="27"/>
        <v>675</v>
      </c>
      <c r="M50" s="75">
        <f t="shared" si="27"/>
        <v>675</v>
      </c>
      <c r="N50" s="75">
        <f t="shared" si="27"/>
        <v>675</v>
      </c>
      <c r="O50" s="75">
        <f t="shared" si="27"/>
        <v>675</v>
      </c>
      <c r="P50" s="75">
        <f t="shared" si="27"/>
        <v>675</v>
      </c>
      <c r="Q50" s="75">
        <f t="shared" si="27"/>
        <v>675</v>
      </c>
      <c r="R50" s="75">
        <f>SUM(R46:R49)</f>
        <v>8100</v>
      </c>
      <c r="S50" s="145">
        <f t="shared" ref="S50:AD50" si="28">SUM(S46:S49)</f>
        <v>675</v>
      </c>
      <c r="T50" s="145">
        <f t="shared" si="28"/>
        <v>1350</v>
      </c>
      <c r="U50" s="145">
        <f t="shared" si="28"/>
        <v>2025</v>
      </c>
      <c r="V50" s="145">
        <f t="shared" si="28"/>
        <v>2700</v>
      </c>
      <c r="W50" s="145">
        <f t="shared" si="28"/>
        <v>3375</v>
      </c>
      <c r="X50" s="145">
        <f t="shared" si="28"/>
        <v>4050</v>
      </c>
      <c r="Y50" s="145">
        <f t="shared" si="28"/>
        <v>4725</v>
      </c>
      <c r="Z50" s="145">
        <f t="shared" si="28"/>
        <v>5400</v>
      </c>
      <c r="AA50" s="145">
        <f t="shared" si="28"/>
        <v>6075</v>
      </c>
      <c r="AB50" s="145">
        <f t="shared" si="28"/>
        <v>6750</v>
      </c>
      <c r="AC50" s="145">
        <f t="shared" si="28"/>
        <v>7425</v>
      </c>
      <c r="AD50" s="145">
        <f t="shared" si="28"/>
        <v>8100</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9">+E$16</f>
        <v>12</v>
      </c>
      <c r="F53" s="79">
        <f t="shared" ref="F53:Q55" si="30">ROUND(+$R53/$E53,2)</f>
        <v>416.67</v>
      </c>
      <c r="G53" s="79">
        <f t="shared" si="30"/>
        <v>416.67</v>
      </c>
      <c r="H53" s="79">
        <f t="shared" si="30"/>
        <v>416.67</v>
      </c>
      <c r="I53" s="79">
        <f t="shared" si="30"/>
        <v>416.67</v>
      </c>
      <c r="J53" s="79">
        <f t="shared" si="30"/>
        <v>416.67</v>
      </c>
      <c r="K53" s="79">
        <f t="shared" si="30"/>
        <v>416.67</v>
      </c>
      <c r="L53" s="79">
        <f t="shared" si="30"/>
        <v>416.67</v>
      </c>
      <c r="M53" s="79">
        <f t="shared" si="30"/>
        <v>416.67</v>
      </c>
      <c r="N53" s="79">
        <f t="shared" si="30"/>
        <v>416.67</v>
      </c>
      <c r="O53" s="79">
        <f t="shared" si="30"/>
        <v>416.67</v>
      </c>
      <c r="P53" s="79">
        <f t="shared" si="30"/>
        <v>416.67</v>
      </c>
      <c r="Q53" s="79">
        <f t="shared" si="30"/>
        <v>416.67</v>
      </c>
      <c r="R53" s="71">
        <v>5000</v>
      </c>
      <c r="S53" s="139">
        <f t="shared" ref="S53:S55" si="31">SUM(F53)</f>
        <v>416.67</v>
      </c>
      <c r="T53" s="139">
        <f>SUM($F53:G53)</f>
        <v>833.34</v>
      </c>
      <c r="U53" s="139">
        <f>SUM($F53:H53)</f>
        <v>1250.01</v>
      </c>
      <c r="V53" s="139">
        <f>SUM($F53:I53)</f>
        <v>1666.68</v>
      </c>
      <c r="W53" s="139">
        <f>SUM($F53:J53)</f>
        <v>2083.35</v>
      </c>
      <c r="X53" s="139">
        <f>SUM($F53:K53)</f>
        <v>2500.02</v>
      </c>
      <c r="Y53" s="139">
        <f>SUM($F53:L53)</f>
        <v>2916.69</v>
      </c>
      <c r="Z53" s="139">
        <f>SUM($F53:M53)</f>
        <v>3333.36</v>
      </c>
      <c r="AA53" s="139">
        <f>SUM($F53:N53)</f>
        <v>3750.03</v>
      </c>
      <c r="AB53" s="139">
        <f>SUM($F53:O53)</f>
        <v>4166.7</v>
      </c>
      <c r="AC53" s="139">
        <f>SUM($F53:P53)</f>
        <v>4583.37</v>
      </c>
      <c r="AD53" s="139">
        <f>SUM($F53:Q53)</f>
        <v>5000.04</v>
      </c>
    </row>
    <row r="54" spans="1:30" x14ac:dyDescent="0.25">
      <c r="A54" s="106">
        <v>49</v>
      </c>
      <c r="C54" s="1" t="s">
        <v>143</v>
      </c>
      <c r="E54" s="101">
        <f t="shared" si="29"/>
        <v>12</v>
      </c>
      <c r="F54" s="79">
        <f t="shared" si="30"/>
        <v>166.67</v>
      </c>
      <c r="G54" s="79">
        <f t="shared" si="30"/>
        <v>166.67</v>
      </c>
      <c r="H54" s="79">
        <f t="shared" si="30"/>
        <v>166.67</v>
      </c>
      <c r="I54" s="79">
        <f t="shared" si="30"/>
        <v>166.67</v>
      </c>
      <c r="J54" s="79">
        <f t="shared" si="30"/>
        <v>166.67</v>
      </c>
      <c r="K54" s="79">
        <f t="shared" si="30"/>
        <v>166.67</v>
      </c>
      <c r="L54" s="79">
        <f t="shared" si="30"/>
        <v>166.67</v>
      </c>
      <c r="M54" s="79">
        <f t="shared" si="30"/>
        <v>166.67</v>
      </c>
      <c r="N54" s="79">
        <f t="shared" si="30"/>
        <v>166.67</v>
      </c>
      <c r="O54" s="79">
        <f t="shared" si="30"/>
        <v>166.67</v>
      </c>
      <c r="P54" s="79">
        <f t="shared" si="30"/>
        <v>166.67</v>
      </c>
      <c r="Q54" s="79">
        <f t="shared" si="30"/>
        <v>166.67</v>
      </c>
      <c r="R54" s="71">
        <v>2000</v>
      </c>
      <c r="S54" s="139">
        <f t="shared" si="31"/>
        <v>166.67</v>
      </c>
      <c r="T54" s="139">
        <f>SUM($F54:G54)</f>
        <v>333.34</v>
      </c>
      <c r="U54" s="139">
        <f>SUM($F54:H54)</f>
        <v>500.01</v>
      </c>
      <c r="V54" s="139">
        <f>SUM($F54:I54)</f>
        <v>666.68</v>
      </c>
      <c r="W54" s="139">
        <f>SUM($F54:J54)</f>
        <v>833.34999999999991</v>
      </c>
      <c r="X54" s="139">
        <f>SUM($F54:K54)</f>
        <v>1000.0199999999999</v>
      </c>
      <c r="Y54" s="139">
        <f>SUM($F54:L54)</f>
        <v>1166.6899999999998</v>
      </c>
      <c r="Z54" s="139">
        <f>SUM($F54:M54)</f>
        <v>1333.36</v>
      </c>
      <c r="AA54" s="139">
        <f>SUM($F54:N54)</f>
        <v>1500.03</v>
      </c>
      <c r="AB54" s="139">
        <f>SUM($F54:O54)</f>
        <v>1666.7</v>
      </c>
      <c r="AC54" s="139">
        <f>SUM($F54:P54)</f>
        <v>1833.3700000000001</v>
      </c>
      <c r="AD54" s="139">
        <f>SUM($F54:Q54)</f>
        <v>2000.0400000000002</v>
      </c>
    </row>
    <row r="55" spans="1:30" x14ac:dyDescent="0.25">
      <c r="A55" s="106">
        <v>50</v>
      </c>
      <c r="C55" s="1" t="s">
        <v>146</v>
      </c>
      <c r="E55" s="101">
        <f t="shared" si="29"/>
        <v>12</v>
      </c>
      <c r="F55" s="79">
        <f t="shared" si="30"/>
        <v>0</v>
      </c>
      <c r="G55" s="79">
        <f t="shared" si="30"/>
        <v>0</v>
      </c>
      <c r="H55" s="79">
        <f t="shared" si="30"/>
        <v>0</v>
      </c>
      <c r="I55" s="79">
        <f t="shared" si="30"/>
        <v>0</v>
      </c>
      <c r="J55" s="79">
        <f t="shared" si="30"/>
        <v>0</v>
      </c>
      <c r="K55" s="79">
        <f t="shared" si="30"/>
        <v>0</v>
      </c>
      <c r="L55" s="79">
        <f t="shared" si="30"/>
        <v>0</v>
      </c>
      <c r="M55" s="79">
        <f t="shared" si="30"/>
        <v>0</v>
      </c>
      <c r="N55" s="79">
        <f t="shared" si="30"/>
        <v>0</v>
      </c>
      <c r="O55" s="79">
        <f t="shared" si="30"/>
        <v>0</v>
      </c>
      <c r="P55" s="79">
        <f t="shared" si="30"/>
        <v>0</v>
      </c>
      <c r="Q55" s="79">
        <f t="shared" si="30"/>
        <v>0</v>
      </c>
      <c r="R55" s="71">
        <v>0</v>
      </c>
      <c r="S55" s="139">
        <f t="shared" si="31"/>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32">SUM(F53:F55)</f>
        <v>583.34</v>
      </c>
      <c r="G56" s="75">
        <f t="shared" si="32"/>
        <v>583.34</v>
      </c>
      <c r="H56" s="75">
        <f t="shared" si="32"/>
        <v>583.34</v>
      </c>
      <c r="I56" s="75">
        <f t="shared" si="32"/>
        <v>583.34</v>
      </c>
      <c r="J56" s="75">
        <f t="shared" si="32"/>
        <v>583.34</v>
      </c>
      <c r="K56" s="75">
        <f t="shared" si="32"/>
        <v>583.34</v>
      </c>
      <c r="L56" s="75">
        <f t="shared" si="32"/>
        <v>583.34</v>
      </c>
      <c r="M56" s="75">
        <f t="shared" si="32"/>
        <v>583.34</v>
      </c>
      <c r="N56" s="75">
        <f t="shared" si="32"/>
        <v>583.34</v>
      </c>
      <c r="O56" s="75">
        <f t="shared" si="32"/>
        <v>583.34</v>
      </c>
      <c r="P56" s="75">
        <f t="shared" si="32"/>
        <v>583.34</v>
      </c>
      <c r="Q56" s="75">
        <f t="shared" si="32"/>
        <v>583.34</v>
      </c>
      <c r="R56" s="75">
        <f>SUM(R53:R55)</f>
        <v>7000</v>
      </c>
      <c r="S56" s="145">
        <f t="shared" ref="S56:AD56" si="33">SUM(S53:S55)</f>
        <v>583.34</v>
      </c>
      <c r="T56" s="145">
        <f t="shared" si="33"/>
        <v>1166.68</v>
      </c>
      <c r="U56" s="145">
        <f t="shared" si="33"/>
        <v>1750.02</v>
      </c>
      <c r="V56" s="145">
        <f t="shared" si="33"/>
        <v>2333.36</v>
      </c>
      <c r="W56" s="145">
        <f t="shared" si="33"/>
        <v>2916.7</v>
      </c>
      <c r="X56" s="145">
        <f t="shared" si="33"/>
        <v>3500.04</v>
      </c>
      <c r="Y56" s="145">
        <f t="shared" si="33"/>
        <v>4083.38</v>
      </c>
      <c r="Z56" s="145">
        <f t="shared" si="33"/>
        <v>4666.72</v>
      </c>
      <c r="AA56" s="145">
        <f t="shared" si="33"/>
        <v>5250.06</v>
      </c>
      <c r="AB56" s="145">
        <f t="shared" si="33"/>
        <v>5833.4</v>
      </c>
      <c r="AC56" s="145">
        <f t="shared" si="33"/>
        <v>6416.74</v>
      </c>
      <c r="AD56" s="145">
        <f t="shared" si="33"/>
        <v>7000.08</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f t="shared" ref="E59:E60" si="34">+E$16</f>
        <v>12</v>
      </c>
      <c r="F59" s="79">
        <f t="shared" ref="F59:Q60" si="35">ROUND(+$R59/$E59,2)</f>
        <v>25</v>
      </c>
      <c r="G59" s="79">
        <f t="shared" si="35"/>
        <v>25</v>
      </c>
      <c r="H59" s="79">
        <f t="shared" si="35"/>
        <v>25</v>
      </c>
      <c r="I59" s="79">
        <f t="shared" si="35"/>
        <v>25</v>
      </c>
      <c r="J59" s="79">
        <f t="shared" si="35"/>
        <v>25</v>
      </c>
      <c r="K59" s="79">
        <f t="shared" si="35"/>
        <v>25</v>
      </c>
      <c r="L59" s="79">
        <f t="shared" si="35"/>
        <v>25</v>
      </c>
      <c r="M59" s="79">
        <f t="shared" si="35"/>
        <v>25</v>
      </c>
      <c r="N59" s="79">
        <f t="shared" si="35"/>
        <v>25</v>
      </c>
      <c r="O59" s="79">
        <f t="shared" si="35"/>
        <v>25</v>
      </c>
      <c r="P59" s="79">
        <f t="shared" si="35"/>
        <v>25</v>
      </c>
      <c r="Q59" s="79">
        <f t="shared" si="35"/>
        <v>25</v>
      </c>
      <c r="R59" s="71">
        <v>300</v>
      </c>
      <c r="S59" s="139">
        <f t="shared" ref="S59:S60" si="36">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34"/>
        <v>12</v>
      </c>
      <c r="F60" s="79">
        <f t="shared" si="35"/>
        <v>41.67</v>
      </c>
      <c r="G60" s="79">
        <f t="shared" si="35"/>
        <v>41.67</v>
      </c>
      <c r="H60" s="79">
        <f t="shared" si="35"/>
        <v>41.67</v>
      </c>
      <c r="I60" s="79">
        <f t="shared" si="35"/>
        <v>41.67</v>
      </c>
      <c r="J60" s="79">
        <f t="shared" si="35"/>
        <v>41.67</v>
      </c>
      <c r="K60" s="79">
        <f t="shared" si="35"/>
        <v>41.67</v>
      </c>
      <c r="L60" s="79">
        <f t="shared" si="35"/>
        <v>41.67</v>
      </c>
      <c r="M60" s="79">
        <f t="shared" si="35"/>
        <v>41.67</v>
      </c>
      <c r="N60" s="79">
        <f t="shared" si="35"/>
        <v>41.67</v>
      </c>
      <c r="O60" s="79">
        <f t="shared" si="35"/>
        <v>41.67</v>
      </c>
      <c r="P60" s="79">
        <f t="shared" si="35"/>
        <v>41.67</v>
      </c>
      <c r="Q60" s="79">
        <f t="shared" si="35"/>
        <v>41.67</v>
      </c>
      <c r="R60" s="71">
        <v>500</v>
      </c>
      <c r="S60" s="139">
        <f t="shared" si="36"/>
        <v>41.67</v>
      </c>
      <c r="T60" s="139">
        <f>SUM($F60:G60)</f>
        <v>83.34</v>
      </c>
      <c r="U60" s="139">
        <f>SUM($F60:H60)</f>
        <v>125.01</v>
      </c>
      <c r="V60" s="139">
        <f>SUM($F60:I60)</f>
        <v>166.68</v>
      </c>
      <c r="W60" s="139">
        <f>SUM($F60:J60)</f>
        <v>208.35000000000002</v>
      </c>
      <c r="X60" s="139">
        <f>SUM($F60:K60)</f>
        <v>250.02000000000004</v>
      </c>
      <c r="Y60" s="139">
        <f>SUM($F60:L60)</f>
        <v>291.69000000000005</v>
      </c>
      <c r="Z60" s="139">
        <f>SUM($F60:M60)</f>
        <v>333.36000000000007</v>
      </c>
      <c r="AA60" s="139">
        <f>SUM($F60:N60)</f>
        <v>375.03000000000009</v>
      </c>
      <c r="AB60" s="139">
        <f>SUM($F60:O60)</f>
        <v>416.7000000000001</v>
      </c>
      <c r="AC60" s="139">
        <f>SUM($F60:P60)</f>
        <v>458.37000000000012</v>
      </c>
      <c r="AD60" s="139">
        <f>SUM($F60:Q60)</f>
        <v>500.04000000000013</v>
      </c>
    </row>
    <row r="61" spans="1:30" s="5" customFormat="1" x14ac:dyDescent="0.25">
      <c r="A61" s="106">
        <v>56</v>
      </c>
      <c r="B61" s="51" t="s">
        <v>127</v>
      </c>
      <c r="C61" s="51"/>
      <c r="D61" s="51"/>
      <c r="E61" s="93"/>
      <c r="F61" s="75">
        <f t="shared" ref="F61:Q61" si="37">SUM(F59:F60)</f>
        <v>66.67</v>
      </c>
      <c r="G61" s="75">
        <f t="shared" si="37"/>
        <v>66.67</v>
      </c>
      <c r="H61" s="75">
        <f t="shared" si="37"/>
        <v>66.67</v>
      </c>
      <c r="I61" s="75">
        <f t="shared" si="37"/>
        <v>66.67</v>
      </c>
      <c r="J61" s="75">
        <f t="shared" si="37"/>
        <v>66.67</v>
      </c>
      <c r="K61" s="75">
        <f t="shared" si="37"/>
        <v>66.67</v>
      </c>
      <c r="L61" s="75">
        <f t="shared" si="37"/>
        <v>66.67</v>
      </c>
      <c r="M61" s="75">
        <f t="shared" si="37"/>
        <v>66.67</v>
      </c>
      <c r="N61" s="75">
        <f t="shared" si="37"/>
        <v>66.67</v>
      </c>
      <c r="O61" s="75">
        <f t="shared" si="37"/>
        <v>66.67</v>
      </c>
      <c r="P61" s="75">
        <f t="shared" si="37"/>
        <v>66.67</v>
      </c>
      <c r="Q61" s="75">
        <f t="shared" si="37"/>
        <v>66.67</v>
      </c>
      <c r="R61" s="75">
        <f>SUM(R59:R60)</f>
        <v>800</v>
      </c>
      <c r="S61" s="145">
        <f t="shared" ref="S61:AD61" si="38">SUM(S59:S60)</f>
        <v>66.67</v>
      </c>
      <c r="T61" s="145">
        <f t="shared" si="38"/>
        <v>133.34</v>
      </c>
      <c r="U61" s="145">
        <f t="shared" si="38"/>
        <v>200.01</v>
      </c>
      <c r="V61" s="145">
        <f t="shared" si="38"/>
        <v>266.68</v>
      </c>
      <c r="W61" s="145">
        <f t="shared" si="38"/>
        <v>333.35</v>
      </c>
      <c r="X61" s="145">
        <f t="shared" si="38"/>
        <v>400.02000000000004</v>
      </c>
      <c r="Y61" s="145">
        <f t="shared" si="38"/>
        <v>466.69000000000005</v>
      </c>
      <c r="Z61" s="145">
        <f t="shared" si="38"/>
        <v>533.36000000000013</v>
      </c>
      <c r="AA61" s="145">
        <f t="shared" si="38"/>
        <v>600.03000000000009</v>
      </c>
      <c r="AB61" s="145">
        <f t="shared" si="38"/>
        <v>666.7</v>
      </c>
      <c r="AC61" s="145">
        <f t="shared" si="38"/>
        <v>733.37000000000012</v>
      </c>
      <c r="AD61" s="145">
        <f t="shared" si="38"/>
        <v>800.04000000000019</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9">+E$16</f>
        <v>12</v>
      </c>
      <c r="F63" s="86">
        <f t="shared" ref="F63:Q63" si="40">ROUND(+$R63/$E63,2)</f>
        <v>16.670000000000002</v>
      </c>
      <c r="G63" s="86">
        <f t="shared" si="40"/>
        <v>16.670000000000002</v>
      </c>
      <c r="H63" s="86">
        <f t="shared" si="40"/>
        <v>16.670000000000002</v>
      </c>
      <c r="I63" s="86">
        <f t="shared" si="40"/>
        <v>16.670000000000002</v>
      </c>
      <c r="J63" s="86">
        <f t="shared" si="40"/>
        <v>16.670000000000002</v>
      </c>
      <c r="K63" s="86">
        <f t="shared" si="40"/>
        <v>16.670000000000002</v>
      </c>
      <c r="L63" s="86">
        <f t="shared" si="40"/>
        <v>16.670000000000002</v>
      </c>
      <c r="M63" s="86">
        <f t="shared" si="40"/>
        <v>16.670000000000002</v>
      </c>
      <c r="N63" s="86">
        <f t="shared" si="40"/>
        <v>16.670000000000002</v>
      </c>
      <c r="O63" s="86">
        <f t="shared" si="40"/>
        <v>16.670000000000002</v>
      </c>
      <c r="P63" s="86">
        <f t="shared" si="40"/>
        <v>16.670000000000002</v>
      </c>
      <c r="Q63" s="86">
        <f t="shared" si="40"/>
        <v>16.670000000000002</v>
      </c>
      <c r="R63" s="77">
        <v>200</v>
      </c>
      <c r="S63" s="147">
        <f t="shared" ref="S63" si="41">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300</v>
      </c>
      <c r="P66" s="71">
        <v>300</v>
      </c>
      <c r="Q66" s="71">
        <v>0</v>
      </c>
      <c r="R66" s="79">
        <f>SUM(F66:Q66)</f>
        <v>600</v>
      </c>
      <c r="S66" s="139">
        <f t="shared" ref="S66:S70" si="4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300</v>
      </c>
      <c r="AC66" s="139">
        <f>SUM($F66:P66)</f>
        <v>600</v>
      </c>
      <c r="AD66" s="139">
        <f>SUM($F66:Q66)</f>
        <v>600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42"/>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42"/>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3">+E$16</f>
        <v>12</v>
      </c>
      <c r="F69" s="79">
        <f t="shared" ref="F69:Q70" si="44">ROUND(+$R69/$E69,2)</f>
        <v>66.67</v>
      </c>
      <c r="G69" s="79">
        <f t="shared" si="44"/>
        <v>66.67</v>
      </c>
      <c r="H69" s="79">
        <f t="shared" si="44"/>
        <v>66.67</v>
      </c>
      <c r="I69" s="79">
        <f t="shared" si="44"/>
        <v>66.67</v>
      </c>
      <c r="J69" s="79">
        <f t="shared" si="44"/>
        <v>66.67</v>
      </c>
      <c r="K69" s="79">
        <f t="shared" si="44"/>
        <v>66.67</v>
      </c>
      <c r="L69" s="79">
        <f t="shared" si="44"/>
        <v>66.67</v>
      </c>
      <c r="M69" s="79">
        <f t="shared" si="44"/>
        <v>66.67</v>
      </c>
      <c r="N69" s="79">
        <f t="shared" si="44"/>
        <v>66.67</v>
      </c>
      <c r="O69" s="79">
        <f t="shared" si="44"/>
        <v>66.67</v>
      </c>
      <c r="P69" s="79">
        <f t="shared" si="44"/>
        <v>66.67</v>
      </c>
      <c r="Q69" s="79">
        <f t="shared" si="44"/>
        <v>66.67</v>
      </c>
      <c r="R69" s="71">
        <v>800</v>
      </c>
      <c r="S69" s="139">
        <f t="shared" si="42"/>
        <v>66.67</v>
      </c>
      <c r="T69" s="139">
        <f>SUM($F69:G69)</f>
        <v>133.34</v>
      </c>
      <c r="U69" s="139">
        <f>SUM($F69:H69)</f>
        <v>200.01</v>
      </c>
      <c r="V69" s="139">
        <f>SUM($F69:I69)</f>
        <v>266.68</v>
      </c>
      <c r="W69" s="139">
        <f>SUM($F69:J69)</f>
        <v>333.35</v>
      </c>
      <c r="X69" s="139">
        <f>SUM($F69:K69)</f>
        <v>400.02000000000004</v>
      </c>
      <c r="Y69" s="139">
        <f>SUM($F69:L69)</f>
        <v>466.69000000000005</v>
      </c>
      <c r="Z69" s="139">
        <f>SUM($F69:M69)</f>
        <v>533.36</v>
      </c>
      <c r="AA69" s="139">
        <f>SUM($F69:N69)</f>
        <v>600.03</v>
      </c>
      <c r="AB69" s="139">
        <f>SUM($F69:O69)</f>
        <v>666.69999999999993</v>
      </c>
      <c r="AC69" s="139">
        <f>SUM($F69:P69)</f>
        <v>733.36999999999989</v>
      </c>
      <c r="AD69" s="139">
        <f>SUM($F69:Q69)</f>
        <v>800.03999999999985</v>
      </c>
    </row>
    <row r="70" spans="1:30" x14ac:dyDescent="0.25">
      <c r="A70" s="106">
        <v>65</v>
      </c>
      <c r="C70" s="1" t="s">
        <v>42</v>
      </c>
      <c r="E70" s="101">
        <f t="shared" si="43"/>
        <v>12</v>
      </c>
      <c r="F70" s="79">
        <f t="shared" si="44"/>
        <v>66.67</v>
      </c>
      <c r="G70" s="79">
        <f t="shared" si="44"/>
        <v>66.67</v>
      </c>
      <c r="H70" s="79">
        <f t="shared" si="44"/>
        <v>66.67</v>
      </c>
      <c r="I70" s="79">
        <f t="shared" si="44"/>
        <v>66.67</v>
      </c>
      <c r="J70" s="79">
        <f t="shared" si="44"/>
        <v>66.67</v>
      </c>
      <c r="K70" s="79">
        <f t="shared" si="44"/>
        <v>66.67</v>
      </c>
      <c r="L70" s="79">
        <f t="shared" si="44"/>
        <v>66.67</v>
      </c>
      <c r="M70" s="79">
        <f t="shared" si="44"/>
        <v>66.67</v>
      </c>
      <c r="N70" s="79">
        <f t="shared" si="44"/>
        <v>66.67</v>
      </c>
      <c r="O70" s="79">
        <f t="shared" si="44"/>
        <v>66.67</v>
      </c>
      <c r="P70" s="79">
        <f t="shared" si="44"/>
        <v>66.67</v>
      </c>
      <c r="Q70" s="79">
        <f t="shared" si="44"/>
        <v>66.67</v>
      </c>
      <c r="R70" s="71">
        <v>800</v>
      </c>
      <c r="S70" s="139">
        <f t="shared" si="42"/>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5">SUM(F66:F70)</f>
        <v>133.34</v>
      </c>
      <c r="G71" s="75">
        <f t="shared" si="45"/>
        <v>133.34</v>
      </c>
      <c r="H71" s="75">
        <f t="shared" si="45"/>
        <v>133.34</v>
      </c>
      <c r="I71" s="75">
        <f t="shared" si="45"/>
        <v>133.34</v>
      </c>
      <c r="J71" s="75">
        <f t="shared" si="45"/>
        <v>833.33999999999992</v>
      </c>
      <c r="K71" s="75">
        <f t="shared" si="45"/>
        <v>133.34</v>
      </c>
      <c r="L71" s="75">
        <f t="shared" si="45"/>
        <v>133.34</v>
      </c>
      <c r="M71" s="75">
        <f t="shared" si="45"/>
        <v>133.34</v>
      </c>
      <c r="N71" s="75">
        <f t="shared" si="45"/>
        <v>133.34</v>
      </c>
      <c r="O71" s="75">
        <f t="shared" si="45"/>
        <v>1433.3400000000001</v>
      </c>
      <c r="P71" s="75">
        <f t="shared" si="45"/>
        <v>433.34000000000003</v>
      </c>
      <c r="Q71" s="75">
        <f t="shared" si="45"/>
        <v>133.34</v>
      </c>
      <c r="R71" s="75">
        <f>SUM(R66:R70)</f>
        <v>3900</v>
      </c>
      <c r="S71" s="145">
        <f t="shared" ref="S71:AD71" si="46">SUM(S66:S70)</f>
        <v>133.34</v>
      </c>
      <c r="T71" s="145">
        <f t="shared" si="46"/>
        <v>266.68</v>
      </c>
      <c r="U71" s="145">
        <f t="shared" si="46"/>
        <v>400.02</v>
      </c>
      <c r="V71" s="145">
        <f t="shared" si="46"/>
        <v>533.36</v>
      </c>
      <c r="W71" s="145">
        <f t="shared" si="46"/>
        <v>1366.6999999999998</v>
      </c>
      <c r="X71" s="145">
        <f t="shared" si="46"/>
        <v>1500.04</v>
      </c>
      <c r="Y71" s="145">
        <f t="shared" si="46"/>
        <v>1633.38</v>
      </c>
      <c r="Z71" s="145">
        <f t="shared" si="46"/>
        <v>1766.7200000000003</v>
      </c>
      <c r="AA71" s="145">
        <f t="shared" si="46"/>
        <v>1900.06</v>
      </c>
      <c r="AB71" s="145">
        <f t="shared" si="46"/>
        <v>3333.3999999999996</v>
      </c>
      <c r="AC71" s="145">
        <f t="shared" si="46"/>
        <v>3766.74</v>
      </c>
      <c r="AD71" s="145">
        <f t="shared" si="46"/>
        <v>3900.08</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7">+E$16</f>
        <v>12</v>
      </c>
      <c r="F74" s="79">
        <f t="shared" ref="F74:Q76" si="48">ROUND(+$R74/$E74,2)</f>
        <v>500</v>
      </c>
      <c r="G74" s="79">
        <f t="shared" si="48"/>
        <v>500</v>
      </c>
      <c r="H74" s="79">
        <f t="shared" si="48"/>
        <v>500</v>
      </c>
      <c r="I74" s="79">
        <f t="shared" si="48"/>
        <v>500</v>
      </c>
      <c r="J74" s="79">
        <f t="shared" si="48"/>
        <v>500</v>
      </c>
      <c r="K74" s="79">
        <f t="shared" si="48"/>
        <v>500</v>
      </c>
      <c r="L74" s="79">
        <f t="shared" si="48"/>
        <v>500</v>
      </c>
      <c r="M74" s="79">
        <f t="shared" si="48"/>
        <v>500</v>
      </c>
      <c r="N74" s="79">
        <f t="shared" si="48"/>
        <v>500</v>
      </c>
      <c r="O74" s="79">
        <f t="shared" si="48"/>
        <v>500</v>
      </c>
      <c r="P74" s="79">
        <f t="shared" si="48"/>
        <v>500</v>
      </c>
      <c r="Q74" s="79">
        <f t="shared" si="48"/>
        <v>500</v>
      </c>
      <c r="R74" s="71">
        <v>6000</v>
      </c>
      <c r="S74" s="139">
        <f t="shared" ref="S74:S80" si="49">SUM(F74)</f>
        <v>500</v>
      </c>
      <c r="T74" s="139">
        <f>SUM($F74:G74)</f>
        <v>1000</v>
      </c>
      <c r="U74" s="139">
        <f>SUM($F74:H74)</f>
        <v>1500</v>
      </c>
      <c r="V74" s="139">
        <f>SUM($F74:I74)</f>
        <v>2000</v>
      </c>
      <c r="W74" s="139">
        <f>SUM($F74:J74)</f>
        <v>2500</v>
      </c>
      <c r="X74" s="139">
        <f>SUM($F74:K74)</f>
        <v>3000</v>
      </c>
      <c r="Y74" s="139">
        <f>SUM($F74:L74)</f>
        <v>3500</v>
      </c>
      <c r="Z74" s="139">
        <f>SUM($F74:M74)</f>
        <v>4000</v>
      </c>
      <c r="AA74" s="139">
        <f>SUM($F74:N74)</f>
        <v>4500</v>
      </c>
      <c r="AB74" s="139">
        <f>SUM($F74:O74)</f>
        <v>5000</v>
      </c>
      <c r="AC74" s="139">
        <f>SUM($F74:P74)</f>
        <v>5500</v>
      </c>
      <c r="AD74" s="139">
        <f>SUM($F74:Q74)</f>
        <v>6000</v>
      </c>
    </row>
    <row r="75" spans="1:30" x14ac:dyDescent="0.25">
      <c r="A75" s="106">
        <v>70</v>
      </c>
      <c r="C75" s="1" t="s">
        <v>46</v>
      </c>
      <c r="E75" s="101">
        <f t="shared" si="47"/>
        <v>12</v>
      </c>
      <c r="F75" s="79">
        <f t="shared" si="48"/>
        <v>458.33</v>
      </c>
      <c r="G75" s="79">
        <f t="shared" si="48"/>
        <v>458.33</v>
      </c>
      <c r="H75" s="79">
        <f t="shared" si="48"/>
        <v>458.33</v>
      </c>
      <c r="I75" s="79">
        <f t="shared" si="48"/>
        <v>458.33</v>
      </c>
      <c r="J75" s="79">
        <f t="shared" si="48"/>
        <v>458.33</v>
      </c>
      <c r="K75" s="79">
        <f t="shared" si="48"/>
        <v>458.33</v>
      </c>
      <c r="L75" s="79">
        <f t="shared" si="48"/>
        <v>458.33</v>
      </c>
      <c r="M75" s="79">
        <f t="shared" si="48"/>
        <v>458.33</v>
      </c>
      <c r="N75" s="79">
        <f t="shared" si="48"/>
        <v>458.33</v>
      </c>
      <c r="O75" s="79">
        <f t="shared" si="48"/>
        <v>458.33</v>
      </c>
      <c r="P75" s="79">
        <f t="shared" si="48"/>
        <v>458.33</v>
      </c>
      <c r="Q75" s="79">
        <f t="shared" si="48"/>
        <v>458.33</v>
      </c>
      <c r="R75" s="71">
        <v>5500</v>
      </c>
      <c r="S75" s="139">
        <f t="shared" si="49"/>
        <v>458.33</v>
      </c>
      <c r="T75" s="139">
        <f>SUM($F75:G75)</f>
        <v>916.66</v>
      </c>
      <c r="U75" s="139">
        <f>SUM($F75:H75)</f>
        <v>1374.99</v>
      </c>
      <c r="V75" s="139">
        <f>SUM($F75:I75)</f>
        <v>1833.32</v>
      </c>
      <c r="W75" s="139">
        <f>SUM($F75:J75)</f>
        <v>2291.65</v>
      </c>
      <c r="X75" s="139">
        <f>SUM($F75:K75)</f>
        <v>2749.98</v>
      </c>
      <c r="Y75" s="139">
        <f>SUM($F75:L75)</f>
        <v>3208.31</v>
      </c>
      <c r="Z75" s="139">
        <f>SUM($F75:M75)</f>
        <v>3666.64</v>
      </c>
      <c r="AA75" s="139">
        <f>SUM($F75:N75)</f>
        <v>4124.97</v>
      </c>
      <c r="AB75" s="139">
        <f>SUM($F75:O75)</f>
        <v>4583.3</v>
      </c>
      <c r="AC75" s="139">
        <f>SUM($F75:P75)</f>
        <v>5041.63</v>
      </c>
      <c r="AD75" s="139">
        <f>SUM($F75:Q75)</f>
        <v>5499.96</v>
      </c>
    </row>
    <row r="76" spans="1:30" x14ac:dyDescent="0.25">
      <c r="A76" s="106">
        <v>71</v>
      </c>
      <c r="C76" s="1" t="s">
        <v>145</v>
      </c>
      <c r="E76" s="101">
        <f t="shared" si="47"/>
        <v>12</v>
      </c>
      <c r="F76" s="79">
        <f t="shared" si="48"/>
        <v>41.67</v>
      </c>
      <c r="G76" s="79">
        <f t="shared" si="48"/>
        <v>41.67</v>
      </c>
      <c r="H76" s="79">
        <f t="shared" si="48"/>
        <v>41.67</v>
      </c>
      <c r="I76" s="79">
        <f t="shared" si="48"/>
        <v>41.67</v>
      </c>
      <c r="J76" s="79">
        <f t="shared" si="48"/>
        <v>41.67</v>
      </c>
      <c r="K76" s="79">
        <f t="shared" si="48"/>
        <v>41.67</v>
      </c>
      <c r="L76" s="79">
        <f t="shared" si="48"/>
        <v>41.67</v>
      </c>
      <c r="M76" s="79">
        <f t="shared" si="48"/>
        <v>41.67</v>
      </c>
      <c r="N76" s="79">
        <f t="shared" si="48"/>
        <v>41.67</v>
      </c>
      <c r="O76" s="79">
        <f t="shared" si="48"/>
        <v>41.67</v>
      </c>
      <c r="P76" s="79">
        <f t="shared" si="48"/>
        <v>41.67</v>
      </c>
      <c r="Q76" s="79">
        <f t="shared" si="48"/>
        <v>41.67</v>
      </c>
      <c r="R76" s="71">
        <v>500</v>
      </c>
      <c r="S76" s="139">
        <f t="shared" si="49"/>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126.5</v>
      </c>
      <c r="H77" s="71">
        <v>126.5</v>
      </c>
      <c r="I77" s="71">
        <v>0</v>
      </c>
      <c r="J77" s="71">
        <v>0</v>
      </c>
      <c r="K77" s="71">
        <v>0</v>
      </c>
      <c r="L77" s="71">
        <v>0</v>
      </c>
      <c r="M77" s="71">
        <v>0</v>
      </c>
      <c r="N77" s="71">
        <v>0</v>
      </c>
      <c r="O77" s="71">
        <v>0</v>
      </c>
      <c r="P77" s="71">
        <v>0</v>
      </c>
      <c r="Q77" s="71">
        <v>0</v>
      </c>
      <c r="R77" s="79">
        <f>SUM(F77:Q77)</f>
        <v>253</v>
      </c>
      <c r="S77" s="139">
        <f t="shared" si="49"/>
        <v>0</v>
      </c>
      <c r="T77" s="139">
        <f>SUM($F77:G77)</f>
        <v>126.5</v>
      </c>
      <c r="U77" s="139">
        <f>SUM($F77:H77)</f>
        <v>253</v>
      </c>
      <c r="V77" s="139">
        <f>SUM($F77:I77)</f>
        <v>253</v>
      </c>
      <c r="W77" s="139">
        <f>SUM($F77:J77)</f>
        <v>253</v>
      </c>
      <c r="X77" s="139">
        <f>SUM($F77:K77)</f>
        <v>253</v>
      </c>
      <c r="Y77" s="139">
        <f>SUM($F77:L77)</f>
        <v>253</v>
      </c>
      <c r="Z77" s="139">
        <f>SUM($F77:M77)</f>
        <v>253</v>
      </c>
      <c r="AA77" s="139">
        <f>SUM($F77:N77)</f>
        <v>253</v>
      </c>
      <c r="AB77" s="139">
        <f>SUM($F77:O77)</f>
        <v>253</v>
      </c>
      <c r="AC77" s="139">
        <f>SUM($F77:P77)</f>
        <v>253</v>
      </c>
      <c r="AD77" s="139">
        <f>SUM($F77:Q77)</f>
        <v>253</v>
      </c>
    </row>
    <row r="78" spans="1:30" x14ac:dyDescent="0.25">
      <c r="A78" s="106">
        <v>73</v>
      </c>
      <c r="C78" s="1" t="s">
        <v>48</v>
      </c>
      <c r="E78" s="101">
        <f t="shared" ref="E78:E80" si="50">+E$16</f>
        <v>12</v>
      </c>
      <c r="F78" s="79">
        <f t="shared" ref="F78:Q80" si="51">ROUND(+$R78/$E78,2)</f>
        <v>1500</v>
      </c>
      <c r="G78" s="79">
        <f t="shared" si="51"/>
        <v>1500</v>
      </c>
      <c r="H78" s="79">
        <f t="shared" si="51"/>
        <v>1500</v>
      </c>
      <c r="I78" s="79">
        <f t="shared" si="51"/>
        <v>1500</v>
      </c>
      <c r="J78" s="79">
        <f t="shared" si="51"/>
        <v>1500</v>
      </c>
      <c r="K78" s="79">
        <f t="shared" si="51"/>
        <v>1500</v>
      </c>
      <c r="L78" s="79">
        <f t="shared" si="51"/>
        <v>1500</v>
      </c>
      <c r="M78" s="79">
        <f t="shared" si="51"/>
        <v>1500</v>
      </c>
      <c r="N78" s="79">
        <f t="shared" si="51"/>
        <v>1500</v>
      </c>
      <c r="O78" s="79">
        <f t="shared" si="51"/>
        <v>1500</v>
      </c>
      <c r="P78" s="79">
        <f t="shared" si="51"/>
        <v>1500</v>
      </c>
      <c r="Q78" s="79">
        <f t="shared" si="51"/>
        <v>1500</v>
      </c>
      <c r="R78" s="71">
        <v>18000</v>
      </c>
      <c r="S78" s="139">
        <f t="shared" si="49"/>
        <v>1500</v>
      </c>
      <c r="T78" s="139">
        <f>SUM($F78:G78)</f>
        <v>3000</v>
      </c>
      <c r="U78" s="139">
        <f>SUM($F78:H78)</f>
        <v>4500</v>
      </c>
      <c r="V78" s="139">
        <f>SUM($F78:I78)</f>
        <v>6000</v>
      </c>
      <c r="W78" s="139">
        <f>SUM($F78:J78)</f>
        <v>7500</v>
      </c>
      <c r="X78" s="139">
        <f>SUM($F78:K78)</f>
        <v>9000</v>
      </c>
      <c r="Y78" s="139">
        <f>SUM($F78:L78)</f>
        <v>10500</v>
      </c>
      <c r="Z78" s="139">
        <f>SUM($F78:M78)</f>
        <v>12000</v>
      </c>
      <c r="AA78" s="139">
        <f>SUM($F78:N78)</f>
        <v>13500</v>
      </c>
      <c r="AB78" s="139">
        <f>SUM($F78:O78)</f>
        <v>15000</v>
      </c>
      <c r="AC78" s="139">
        <f>SUM($F78:P78)</f>
        <v>16500</v>
      </c>
      <c r="AD78" s="139">
        <f>SUM($F78:Q78)</f>
        <v>18000</v>
      </c>
    </row>
    <row r="79" spans="1:30" x14ac:dyDescent="0.25">
      <c r="A79" s="106">
        <v>74</v>
      </c>
      <c r="C79" s="1" t="s">
        <v>49</v>
      </c>
      <c r="E79" s="101">
        <f t="shared" si="50"/>
        <v>12</v>
      </c>
      <c r="F79" s="79">
        <f t="shared" si="51"/>
        <v>83.33</v>
      </c>
      <c r="G79" s="79">
        <f t="shared" si="51"/>
        <v>83.33</v>
      </c>
      <c r="H79" s="79">
        <f t="shared" si="51"/>
        <v>83.33</v>
      </c>
      <c r="I79" s="79">
        <f t="shared" si="51"/>
        <v>83.33</v>
      </c>
      <c r="J79" s="79">
        <f t="shared" si="51"/>
        <v>83.33</v>
      </c>
      <c r="K79" s="79">
        <f t="shared" si="51"/>
        <v>83.33</v>
      </c>
      <c r="L79" s="79">
        <f t="shared" si="51"/>
        <v>83.33</v>
      </c>
      <c r="M79" s="79">
        <f t="shared" si="51"/>
        <v>83.33</v>
      </c>
      <c r="N79" s="79">
        <f t="shared" si="51"/>
        <v>83.33</v>
      </c>
      <c r="O79" s="79">
        <f t="shared" si="51"/>
        <v>83.33</v>
      </c>
      <c r="P79" s="79">
        <f t="shared" si="51"/>
        <v>83.33</v>
      </c>
      <c r="Q79" s="79">
        <f t="shared" si="51"/>
        <v>83.33</v>
      </c>
      <c r="R79" s="71">
        <v>1000</v>
      </c>
      <c r="S79" s="139">
        <f t="shared" si="49"/>
        <v>83.33</v>
      </c>
      <c r="T79" s="139">
        <f>SUM($F79:G79)</f>
        <v>166.66</v>
      </c>
      <c r="U79" s="139">
        <f>SUM($F79:H79)</f>
        <v>249.99</v>
      </c>
      <c r="V79" s="139">
        <f>SUM($F79:I79)</f>
        <v>333.32</v>
      </c>
      <c r="W79" s="139">
        <f>SUM($F79:J79)</f>
        <v>416.65</v>
      </c>
      <c r="X79" s="139">
        <f>SUM($F79:K79)</f>
        <v>499.97999999999996</v>
      </c>
      <c r="Y79" s="139">
        <f>SUM($F79:L79)</f>
        <v>583.30999999999995</v>
      </c>
      <c r="Z79" s="139">
        <f>SUM($F79:M79)</f>
        <v>666.64</v>
      </c>
      <c r="AA79" s="139">
        <f>SUM($F79:N79)</f>
        <v>749.97</v>
      </c>
      <c r="AB79" s="139">
        <f>SUM($F79:O79)</f>
        <v>833.30000000000007</v>
      </c>
      <c r="AC79" s="139">
        <f>SUM($F79:P79)</f>
        <v>916.63000000000011</v>
      </c>
      <c r="AD79" s="139">
        <f>SUM($F79:Q79)</f>
        <v>999.96000000000015</v>
      </c>
    </row>
    <row r="80" spans="1:30" x14ac:dyDescent="0.25">
      <c r="A80" s="106">
        <v>75</v>
      </c>
      <c r="C80" s="1" t="s">
        <v>50</v>
      </c>
      <c r="E80" s="101">
        <f t="shared" si="50"/>
        <v>12</v>
      </c>
      <c r="F80" s="79">
        <f t="shared" si="51"/>
        <v>83.33</v>
      </c>
      <c r="G80" s="79">
        <f t="shared" si="51"/>
        <v>83.33</v>
      </c>
      <c r="H80" s="79">
        <f t="shared" si="51"/>
        <v>83.33</v>
      </c>
      <c r="I80" s="79">
        <f t="shared" si="51"/>
        <v>83.33</v>
      </c>
      <c r="J80" s="79">
        <f t="shared" si="51"/>
        <v>83.33</v>
      </c>
      <c r="K80" s="79">
        <f t="shared" si="51"/>
        <v>83.33</v>
      </c>
      <c r="L80" s="79">
        <f t="shared" si="51"/>
        <v>83.33</v>
      </c>
      <c r="M80" s="79">
        <f t="shared" si="51"/>
        <v>83.33</v>
      </c>
      <c r="N80" s="79">
        <f t="shared" si="51"/>
        <v>83.33</v>
      </c>
      <c r="O80" s="79">
        <f t="shared" si="51"/>
        <v>83.33</v>
      </c>
      <c r="P80" s="79">
        <f t="shared" si="51"/>
        <v>83.33</v>
      </c>
      <c r="Q80" s="79">
        <f t="shared" si="51"/>
        <v>83.33</v>
      </c>
      <c r="R80" s="71">
        <v>1000</v>
      </c>
      <c r="S80" s="139">
        <f t="shared" si="49"/>
        <v>83.33</v>
      </c>
      <c r="T80" s="139">
        <f>SUM($F80:G80)</f>
        <v>166.66</v>
      </c>
      <c r="U80" s="139">
        <f>SUM($F80:H80)</f>
        <v>249.99</v>
      </c>
      <c r="V80" s="139">
        <f>SUM($F80:I80)</f>
        <v>333.32</v>
      </c>
      <c r="W80" s="139">
        <f>SUM($F80:J80)</f>
        <v>416.65</v>
      </c>
      <c r="X80" s="139">
        <f>SUM($F80:K80)</f>
        <v>499.97999999999996</v>
      </c>
      <c r="Y80" s="139">
        <f>SUM($F80:L80)</f>
        <v>583.30999999999995</v>
      </c>
      <c r="Z80" s="139">
        <f>SUM($F80:M80)</f>
        <v>666.64</v>
      </c>
      <c r="AA80" s="139">
        <f>SUM($F80:N80)</f>
        <v>749.97</v>
      </c>
      <c r="AB80" s="139">
        <f>SUM($F80:O80)</f>
        <v>833.30000000000007</v>
      </c>
      <c r="AC80" s="139">
        <f>SUM($F80:P80)</f>
        <v>916.63000000000011</v>
      </c>
      <c r="AD80" s="139">
        <f>SUM($F80:Q80)</f>
        <v>999.96000000000015</v>
      </c>
    </row>
    <row r="81" spans="1:30" s="5" customFormat="1" x14ac:dyDescent="0.25">
      <c r="A81" s="106">
        <v>76</v>
      </c>
      <c r="B81" s="51" t="s">
        <v>53</v>
      </c>
      <c r="C81" s="51"/>
      <c r="D81" s="51"/>
      <c r="E81" s="93"/>
      <c r="F81" s="75">
        <f t="shared" ref="F81:Q81" si="52">SUM(F74:F80)</f>
        <v>2666.66</v>
      </c>
      <c r="G81" s="75">
        <f t="shared" si="52"/>
        <v>2793.16</v>
      </c>
      <c r="H81" s="75">
        <f t="shared" si="52"/>
        <v>2793.16</v>
      </c>
      <c r="I81" s="75">
        <f t="shared" si="52"/>
        <v>2666.66</v>
      </c>
      <c r="J81" s="75">
        <f t="shared" si="52"/>
        <v>2666.66</v>
      </c>
      <c r="K81" s="75">
        <f t="shared" si="52"/>
        <v>2666.66</v>
      </c>
      <c r="L81" s="75">
        <f t="shared" si="52"/>
        <v>2666.66</v>
      </c>
      <c r="M81" s="75">
        <f t="shared" si="52"/>
        <v>2666.66</v>
      </c>
      <c r="N81" s="75">
        <f t="shared" si="52"/>
        <v>2666.66</v>
      </c>
      <c r="O81" s="75">
        <f t="shared" si="52"/>
        <v>2666.66</v>
      </c>
      <c r="P81" s="75">
        <f t="shared" si="52"/>
        <v>2666.66</v>
      </c>
      <c r="Q81" s="75">
        <f t="shared" si="52"/>
        <v>2666.66</v>
      </c>
      <c r="R81" s="75">
        <f>SUM(R74:R80)</f>
        <v>32253</v>
      </c>
      <c r="S81" s="145">
        <f t="shared" ref="S81:AD81" si="53">SUM(S74:S80)</f>
        <v>2666.66</v>
      </c>
      <c r="T81" s="145">
        <f t="shared" si="53"/>
        <v>5459.82</v>
      </c>
      <c r="U81" s="145">
        <f t="shared" si="53"/>
        <v>8252.98</v>
      </c>
      <c r="V81" s="145">
        <f t="shared" si="53"/>
        <v>10919.64</v>
      </c>
      <c r="W81" s="145">
        <f t="shared" si="53"/>
        <v>13586.3</v>
      </c>
      <c r="X81" s="145">
        <f t="shared" si="53"/>
        <v>16252.96</v>
      </c>
      <c r="Y81" s="145">
        <f t="shared" si="53"/>
        <v>18919.620000000003</v>
      </c>
      <c r="Z81" s="145">
        <f t="shared" si="53"/>
        <v>21586.28</v>
      </c>
      <c r="AA81" s="145">
        <f t="shared" si="53"/>
        <v>24252.940000000002</v>
      </c>
      <c r="AB81" s="145">
        <f t="shared" si="53"/>
        <v>26919.599999999999</v>
      </c>
      <c r="AC81" s="145">
        <f t="shared" si="53"/>
        <v>29586.260000000002</v>
      </c>
      <c r="AD81" s="145">
        <f t="shared" si="53"/>
        <v>32252.92</v>
      </c>
    </row>
    <row r="82" spans="1:30" x14ac:dyDescent="0.25">
      <c r="A82" s="106">
        <v>77</v>
      </c>
      <c r="B82" s="51" t="s">
        <v>126</v>
      </c>
      <c r="C82" s="32"/>
      <c r="D82" s="32"/>
      <c r="E82" s="95"/>
      <c r="F82" s="75">
        <f t="shared" ref="F82:Q82" si="54">+F41+F43+F50+F56+F63+F71+F81+F61</f>
        <v>4754.18</v>
      </c>
      <c r="G82" s="75">
        <f t="shared" si="54"/>
        <v>4880.68</v>
      </c>
      <c r="H82" s="75">
        <f t="shared" si="54"/>
        <v>4947.34</v>
      </c>
      <c r="I82" s="75">
        <f t="shared" si="54"/>
        <v>4820.8500000000004</v>
      </c>
      <c r="J82" s="75">
        <f t="shared" si="54"/>
        <v>5520.85</v>
      </c>
      <c r="K82" s="75">
        <f t="shared" si="54"/>
        <v>4754.18</v>
      </c>
      <c r="L82" s="75">
        <f t="shared" si="54"/>
        <v>4754.18</v>
      </c>
      <c r="M82" s="75">
        <f t="shared" si="54"/>
        <v>5504.18</v>
      </c>
      <c r="N82" s="75">
        <f t="shared" si="54"/>
        <v>4754.18</v>
      </c>
      <c r="O82" s="75">
        <f t="shared" si="54"/>
        <v>6054.18</v>
      </c>
      <c r="P82" s="75">
        <f t="shared" si="54"/>
        <v>5054.18</v>
      </c>
      <c r="Q82" s="75">
        <f t="shared" si="54"/>
        <v>4754.18</v>
      </c>
      <c r="R82" s="75">
        <f>+R41+R43+R50+R56+R63+R71+R81+R61</f>
        <v>60553</v>
      </c>
      <c r="S82" s="145">
        <f t="shared" ref="S82:AD82" si="55">+S41+S43+S50+S56+S63+S71+S81+S61</f>
        <v>4754.18</v>
      </c>
      <c r="T82" s="145">
        <f t="shared" si="55"/>
        <v>9634.86</v>
      </c>
      <c r="U82" s="145">
        <f t="shared" si="55"/>
        <v>14582.2</v>
      </c>
      <c r="V82" s="145">
        <f t="shared" si="55"/>
        <v>19403.050000000003</v>
      </c>
      <c r="W82" s="145">
        <f t="shared" si="55"/>
        <v>24923.899999999998</v>
      </c>
      <c r="X82" s="145">
        <f t="shared" si="55"/>
        <v>29678.080000000002</v>
      </c>
      <c r="Y82" s="145">
        <f t="shared" si="55"/>
        <v>34432.260000000009</v>
      </c>
      <c r="Z82" s="145">
        <f t="shared" si="55"/>
        <v>39936.44</v>
      </c>
      <c r="AA82" s="145">
        <f t="shared" si="55"/>
        <v>44690.62</v>
      </c>
      <c r="AB82" s="145">
        <f t="shared" si="55"/>
        <v>50744.799999999996</v>
      </c>
      <c r="AC82" s="145">
        <f t="shared" si="55"/>
        <v>55798.98</v>
      </c>
      <c r="AD82" s="145">
        <f t="shared" si="55"/>
        <v>60553.16</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6">+E$16</f>
        <v>12</v>
      </c>
      <c r="F86" s="79">
        <f t="shared" ref="F86:Q90" si="57">ROUND(+$R86/$E86,2)</f>
        <v>7552.58</v>
      </c>
      <c r="G86" s="79">
        <f t="shared" si="57"/>
        <v>7552.58</v>
      </c>
      <c r="H86" s="79">
        <f t="shared" si="57"/>
        <v>7552.58</v>
      </c>
      <c r="I86" s="79">
        <f t="shared" si="57"/>
        <v>7552.58</v>
      </c>
      <c r="J86" s="79">
        <f t="shared" si="57"/>
        <v>7552.58</v>
      </c>
      <c r="K86" s="79">
        <f t="shared" si="57"/>
        <v>7552.58</v>
      </c>
      <c r="L86" s="79">
        <f t="shared" si="57"/>
        <v>7552.58</v>
      </c>
      <c r="M86" s="79">
        <f t="shared" si="57"/>
        <v>7552.58</v>
      </c>
      <c r="N86" s="79">
        <f t="shared" si="57"/>
        <v>7552.58</v>
      </c>
      <c r="O86" s="79">
        <f t="shared" si="57"/>
        <v>7552.58</v>
      </c>
      <c r="P86" s="79">
        <f t="shared" si="57"/>
        <v>7552.58</v>
      </c>
      <c r="Q86" s="79">
        <f t="shared" si="57"/>
        <v>7552.58</v>
      </c>
      <c r="R86" s="79">
        <f>ROUND('New Year-Full Year'!H86*(1+LEFT('2012 Budget'!D$133,1)/100),0)</f>
        <v>90631</v>
      </c>
      <c r="S86" s="139">
        <f t="shared" ref="S86:S90" si="58">SUM(F86)</f>
        <v>7552.58</v>
      </c>
      <c r="T86" s="139">
        <f>SUM($F86:G86)</f>
        <v>15105.16</v>
      </c>
      <c r="U86" s="139">
        <f>SUM($F86:H86)</f>
        <v>22657.739999999998</v>
      </c>
      <c r="V86" s="139">
        <f>SUM($F86:I86)</f>
        <v>30210.32</v>
      </c>
      <c r="W86" s="139">
        <f>SUM($F86:J86)</f>
        <v>37762.9</v>
      </c>
      <c r="X86" s="139">
        <f>SUM($F86:K86)</f>
        <v>45315.48</v>
      </c>
      <c r="Y86" s="139">
        <f>SUM($F86:L86)</f>
        <v>52868.060000000005</v>
      </c>
      <c r="Z86" s="139">
        <f>SUM($F86:M86)</f>
        <v>60420.640000000007</v>
      </c>
      <c r="AA86" s="139">
        <f>SUM($F86:N86)</f>
        <v>67973.22</v>
      </c>
      <c r="AB86" s="139">
        <f>SUM($F86:O86)</f>
        <v>75525.8</v>
      </c>
      <c r="AC86" s="139">
        <f>SUM($F86:P86)</f>
        <v>83078.38</v>
      </c>
      <c r="AD86" s="139">
        <f>SUM($F86:Q86)</f>
        <v>90630.96</v>
      </c>
    </row>
    <row r="87" spans="1:30" x14ac:dyDescent="0.25">
      <c r="A87" s="106">
        <v>82</v>
      </c>
      <c r="C87" s="1" t="s">
        <v>55</v>
      </c>
      <c r="E87" s="101">
        <f t="shared" si="56"/>
        <v>12</v>
      </c>
      <c r="F87" s="79">
        <f t="shared" si="57"/>
        <v>458.33</v>
      </c>
      <c r="G87" s="79">
        <f t="shared" si="57"/>
        <v>458.33</v>
      </c>
      <c r="H87" s="79">
        <f t="shared" si="57"/>
        <v>458.33</v>
      </c>
      <c r="I87" s="79">
        <f t="shared" si="57"/>
        <v>458.33</v>
      </c>
      <c r="J87" s="79">
        <f t="shared" si="57"/>
        <v>458.33</v>
      </c>
      <c r="K87" s="79">
        <f t="shared" si="57"/>
        <v>458.33</v>
      </c>
      <c r="L87" s="79">
        <f t="shared" si="57"/>
        <v>458.33</v>
      </c>
      <c r="M87" s="79">
        <f t="shared" si="57"/>
        <v>458.33</v>
      </c>
      <c r="N87" s="79">
        <f t="shared" si="57"/>
        <v>458.33</v>
      </c>
      <c r="O87" s="79">
        <f t="shared" si="57"/>
        <v>458.33</v>
      </c>
      <c r="P87" s="79">
        <f t="shared" si="57"/>
        <v>458.33</v>
      </c>
      <c r="Q87" s="79">
        <f t="shared" si="57"/>
        <v>458.33</v>
      </c>
      <c r="R87" s="71">
        <v>5500</v>
      </c>
      <c r="S87" s="139">
        <f t="shared" si="58"/>
        <v>458.33</v>
      </c>
      <c r="T87" s="139">
        <f>SUM($F87:G87)</f>
        <v>916.66</v>
      </c>
      <c r="U87" s="139">
        <f>SUM($F87:H87)</f>
        <v>1374.99</v>
      </c>
      <c r="V87" s="139">
        <f>SUM($F87:I87)</f>
        <v>1833.32</v>
      </c>
      <c r="W87" s="139">
        <f>SUM($F87:J87)</f>
        <v>2291.65</v>
      </c>
      <c r="X87" s="139">
        <f>SUM($F87:K87)</f>
        <v>2749.98</v>
      </c>
      <c r="Y87" s="139">
        <f>SUM($F87:L87)</f>
        <v>3208.31</v>
      </c>
      <c r="Z87" s="139">
        <f>SUM($F87:M87)</f>
        <v>3666.64</v>
      </c>
      <c r="AA87" s="139">
        <f>SUM($F87:N87)</f>
        <v>4124.97</v>
      </c>
      <c r="AB87" s="139">
        <f>SUM($F87:O87)</f>
        <v>4583.3</v>
      </c>
      <c r="AC87" s="139">
        <f>SUM($F87:P87)</f>
        <v>5041.63</v>
      </c>
      <c r="AD87" s="139">
        <f>SUM($F87:Q87)</f>
        <v>5499.96</v>
      </c>
    </row>
    <row r="88" spans="1:30" x14ac:dyDescent="0.25">
      <c r="A88" s="106">
        <v>83</v>
      </c>
      <c r="C88" s="1" t="s">
        <v>56</v>
      </c>
      <c r="E88" s="101">
        <f t="shared" si="56"/>
        <v>12</v>
      </c>
      <c r="F88" s="79">
        <f t="shared" si="57"/>
        <v>2845.75</v>
      </c>
      <c r="G88" s="79">
        <f t="shared" si="57"/>
        <v>2845.75</v>
      </c>
      <c r="H88" s="79">
        <f t="shared" si="57"/>
        <v>2845.75</v>
      </c>
      <c r="I88" s="79">
        <f t="shared" si="57"/>
        <v>2845.75</v>
      </c>
      <c r="J88" s="79">
        <f t="shared" si="57"/>
        <v>2845.75</v>
      </c>
      <c r="K88" s="79">
        <f t="shared" si="57"/>
        <v>2845.75</v>
      </c>
      <c r="L88" s="79">
        <f t="shared" si="57"/>
        <v>2845.75</v>
      </c>
      <c r="M88" s="79">
        <f t="shared" si="57"/>
        <v>2845.75</v>
      </c>
      <c r="N88" s="79">
        <f t="shared" si="57"/>
        <v>2845.75</v>
      </c>
      <c r="O88" s="79">
        <f t="shared" si="57"/>
        <v>2845.75</v>
      </c>
      <c r="P88" s="79">
        <f t="shared" si="57"/>
        <v>2845.75</v>
      </c>
      <c r="Q88" s="79">
        <f t="shared" si="57"/>
        <v>2845.75</v>
      </c>
      <c r="R88" s="71">
        <v>34149</v>
      </c>
      <c r="S88" s="139">
        <f t="shared" si="58"/>
        <v>2845.75</v>
      </c>
      <c r="T88" s="139">
        <f>SUM($F88:G88)</f>
        <v>5691.5</v>
      </c>
      <c r="U88" s="139">
        <f>SUM($F88:H88)</f>
        <v>8537.25</v>
      </c>
      <c r="V88" s="139">
        <f>SUM($F88:I88)</f>
        <v>11383</v>
      </c>
      <c r="W88" s="139">
        <f>SUM($F88:J88)</f>
        <v>14228.75</v>
      </c>
      <c r="X88" s="139">
        <f>SUM($F88:K88)</f>
        <v>17074.5</v>
      </c>
      <c r="Y88" s="139">
        <f>SUM($F88:L88)</f>
        <v>19920.25</v>
      </c>
      <c r="Z88" s="139">
        <f>SUM($F88:M88)</f>
        <v>22766</v>
      </c>
      <c r="AA88" s="139">
        <f>SUM($F88:N88)</f>
        <v>25611.75</v>
      </c>
      <c r="AB88" s="139">
        <f>SUM($F88:O88)</f>
        <v>28457.5</v>
      </c>
      <c r="AC88" s="139">
        <f>SUM($F88:P88)</f>
        <v>31303.25</v>
      </c>
      <c r="AD88" s="139">
        <f>SUM($F88:Q88)</f>
        <v>34149</v>
      </c>
    </row>
    <row r="89" spans="1:30" x14ac:dyDescent="0.25">
      <c r="A89" s="106">
        <v>84</v>
      </c>
      <c r="C89" s="1" t="s">
        <v>57</v>
      </c>
      <c r="E89" s="101">
        <f t="shared" si="56"/>
        <v>12</v>
      </c>
      <c r="F89" s="79">
        <f t="shared" si="57"/>
        <v>333.33</v>
      </c>
      <c r="G89" s="79">
        <f t="shared" si="57"/>
        <v>333.33</v>
      </c>
      <c r="H89" s="79">
        <f t="shared" si="57"/>
        <v>333.33</v>
      </c>
      <c r="I89" s="79">
        <f t="shared" si="57"/>
        <v>333.33</v>
      </c>
      <c r="J89" s="79">
        <f t="shared" si="57"/>
        <v>333.33</v>
      </c>
      <c r="K89" s="79">
        <f t="shared" si="57"/>
        <v>333.33</v>
      </c>
      <c r="L89" s="79">
        <f t="shared" si="57"/>
        <v>333.33</v>
      </c>
      <c r="M89" s="79">
        <f t="shared" si="57"/>
        <v>333.33</v>
      </c>
      <c r="N89" s="79">
        <f t="shared" si="57"/>
        <v>333.33</v>
      </c>
      <c r="O89" s="79">
        <f t="shared" si="57"/>
        <v>333.33</v>
      </c>
      <c r="P89" s="79">
        <f t="shared" si="57"/>
        <v>333.33</v>
      </c>
      <c r="Q89" s="79">
        <f t="shared" si="57"/>
        <v>333.33</v>
      </c>
      <c r="R89" s="71">
        <v>4000</v>
      </c>
      <c r="S89" s="139">
        <f t="shared" si="5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56"/>
        <v>12</v>
      </c>
      <c r="F90" s="79">
        <f t="shared" si="57"/>
        <v>250</v>
      </c>
      <c r="G90" s="79">
        <f t="shared" si="57"/>
        <v>250</v>
      </c>
      <c r="H90" s="79">
        <f t="shared" si="57"/>
        <v>250</v>
      </c>
      <c r="I90" s="79">
        <f t="shared" si="57"/>
        <v>250</v>
      </c>
      <c r="J90" s="79">
        <f t="shared" si="57"/>
        <v>250</v>
      </c>
      <c r="K90" s="79">
        <f t="shared" si="57"/>
        <v>250</v>
      </c>
      <c r="L90" s="79">
        <f t="shared" si="57"/>
        <v>250</v>
      </c>
      <c r="M90" s="79">
        <f t="shared" si="57"/>
        <v>250</v>
      </c>
      <c r="N90" s="79">
        <f t="shared" si="57"/>
        <v>250</v>
      </c>
      <c r="O90" s="79">
        <f t="shared" si="57"/>
        <v>250</v>
      </c>
      <c r="P90" s="79">
        <f t="shared" si="57"/>
        <v>250</v>
      </c>
      <c r="Q90" s="79">
        <f t="shared" si="57"/>
        <v>250</v>
      </c>
      <c r="R90" s="71">
        <v>3000</v>
      </c>
      <c r="S90" s="139">
        <f t="shared" si="5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Q91" si="59">SUM(F86:F90)</f>
        <v>11439.99</v>
      </c>
      <c r="G91" s="80">
        <f t="shared" si="59"/>
        <v>11439.99</v>
      </c>
      <c r="H91" s="80">
        <f t="shared" si="59"/>
        <v>11439.99</v>
      </c>
      <c r="I91" s="80">
        <f t="shared" si="59"/>
        <v>11439.99</v>
      </c>
      <c r="J91" s="80">
        <f t="shared" si="59"/>
        <v>11439.99</v>
      </c>
      <c r="K91" s="80">
        <f t="shared" si="59"/>
        <v>11439.99</v>
      </c>
      <c r="L91" s="80">
        <f t="shared" si="59"/>
        <v>11439.99</v>
      </c>
      <c r="M91" s="80">
        <f t="shared" si="59"/>
        <v>11439.99</v>
      </c>
      <c r="N91" s="80">
        <f t="shared" si="59"/>
        <v>11439.99</v>
      </c>
      <c r="O91" s="80">
        <f t="shared" si="59"/>
        <v>11439.99</v>
      </c>
      <c r="P91" s="80">
        <f t="shared" si="59"/>
        <v>11439.99</v>
      </c>
      <c r="Q91" s="80">
        <f t="shared" si="59"/>
        <v>11439.99</v>
      </c>
      <c r="R91" s="80">
        <f>SUM(R86:R90)</f>
        <v>137280</v>
      </c>
      <c r="S91" s="149">
        <f t="shared" ref="S91:AD91" si="60">SUM(S86:S90)</f>
        <v>11439.99</v>
      </c>
      <c r="T91" s="149">
        <f t="shared" si="60"/>
        <v>22879.98</v>
      </c>
      <c r="U91" s="149">
        <f t="shared" si="60"/>
        <v>34319.97</v>
      </c>
      <c r="V91" s="149">
        <f t="shared" si="60"/>
        <v>45759.96</v>
      </c>
      <c r="W91" s="149">
        <f t="shared" si="60"/>
        <v>57199.950000000004</v>
      </c>
      <c r="X91" s="149">
        <f t="shared" si="60"/>
        <v>68639.94</v>
      </c>
      <c r="Y91" s="149">
        <f t="shared" si="60"/>
        <v>80079.929999999993</v>
      </c>
      <c r="Z91" s="149">
        <f t="shared" si="60"/>
        <v>91519.92</v>
      </c>
      <c r="AA91" s="149">
        <f t="shared" si="60"/>
        <v>102959.91</v>
      </c>
      <c r="AB91" s="149">
        <f t="shared" si="60"/>
        <v>114399.90000000001</v>
      </c>
      <c r="AC91" s="149">
        <f t="shared" si="60"/>
        <v>125839.89000000001</v>
      </c>
      <c r="AD91" s="149">
        <f t="shared" si="60"/>
        <v>137279.88</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1">+E$16</f>
        <v>12</v>
      </c>
      <c r="F94" s="79">
        <f t="shared" ref="F94:Q95" si="62">ROUND(+$R94/$E94,2)</f>
        <v>958.92</v>
      </c>
      <c r="G94" s="79">
        <f t="shared" si="62"/>
        <v>958.92</v>
      </c>
      <c r="H94" s="79">
        <f t="shared" si="62"/>
        <v>958.92</v>
      </c>
      <c r="I94" s="79">
        <f t="shared" si="62"/>
        <v>958.92</v>
      </c>
      <c r="J94" s="79">
        <f t="shared" si="62"/>
        <v>958.92</v>
      </c>
      <c r="K94" s="79">
        <f t="shared" si="62"/>
        <v>958.92</v>
      </c>
      <c r="L94" s="79">
        <f t="shared" si="62"/>
        <v>958.92</v>
      </c>
      <c r="M94" s="79">
        <f t="shared" si="62"/>
        <v>958.92</v>
      </c>
      <c r="N94" s="79">
        <f t="shared" si="62"/>
        <v>958.92</v>
      </c>
      <c r="O94" s="79">
        <f t="shared" si="62"/>
        <v>958.92</v>
      </c>
      <c r="P94" s="79">
        <f t="shared" si="62"/>
        <v>958.92</v>
      </c>
      <c r="Q94" s="79">
        <f t="shared" si="62"/>
        <v>958.92</v>
      </c>
      <c r="R94" s="79">
        <f>ROUND('New Year-Full Year'!H94*(1+LEFT('2012 Budget'!D$133,1)/100),0)</f>
        <v>11507</v>
      </c>
      <c r="S94" s="139">
        <f t="shared" ref="S94:S95" si="63">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61"/>
        <v>12</v>
      </c>
      <c r="F95" s="79">
        <f t="shared" si="62"/>
        <v>416.67</v>
      </c>
      <c r="G95" s="79">
        <f t="shared" si="62"/>
        <v>416.67</v>
      </c>
      <c r="H95" s="79">
        <f t="shared" si="62"/>
        <v>416.67</v>
      </c>
      <c r="I95" s="79">
        <f t="shared" si="62"/>
        <v>416.67</v>
      </c>
      <c r="J95" s="79">
        <f t="shared" si="62"/>
        <v>416.67</v>
      </c>
      <c r="K95" s="79">
        <f t="shared" si="62"/>
        <v>416.67</v>
      </c>
      <c r="L95" s="79">
        <f t="shared" si="62"/>
        <v>416.67</v>
      </c>
      <c r="M95" s="79">
        <f t="shared" si="62"/>
        <v>416.67</v>
      </c>
      <c r="N95" s="79">
        <f t="shared" si="62"/>
        <v>416.67</v>
      </c>
      <c r="O95" s="79">
        <f t="shared" si="62"/>
        <v>416.67</v>
      </c>
      <c r="P95" s="79">
        <f t="shared" si="62"/>
        <v>416.67</v>
      </c>
      <c r="Q95" s="79">
        <f t="shared" si="62"/>
        <v>416.67</v>
      </c>
      <c r="R95" s="71">
        <v>5000</v>
      </c>
      <c r="S95" s="139">
        <f t="shared" si="63"/>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4">SUM(F94:F95)</f>
        <v>1375.59</v>
      </c>
      <c r="G96" s="80">
        <f t="shared" si="64"/>
        <v>1375.59</v>
      </c>
      <c r="H96" s="80">
        <f t="shared" si="64"/>
        <v>1375.59</v>
      </c>
      <c r="I96" s="80">
        <f t="shared" si="64"/>
        <v>1375.59</v>
      </c>
      <c r="J96" s="80">
        <f t="shared" si="64"/>
        <v>1375.59</v>
      </c>
      <c r="K96" s="80">
        <f t="shared" si="64"/>
        <v>1375.59</v>
      </c>
      <c r="L96" s="80">
        <f t="shared" si="64"/>
        <v>1375.59</v>
      </c>
      <c r="M96" s="80">
        <f t="shared" si="64"/>
        <v>1375.59</v>
      </c>
      <c r="N96" s="80">
        <f t="shared" si="64"/>
        <v>1375.59</v>
      </c>
      <c r="O96" s="80">
        <f t="shared" si="64"/>
        <v>1375.59</v>
      </c>
      <c r="P96" s="80">
        <f t="shared" si="64"/>
        <v>1375.59</v>
      </c>
      <c r="Q96" s="80">
        <f t="shared" si="64"/>
        <v>1375.59</v>
      </c>
      <c r="R96" s="80">
        <f>SUM(R94:R95)</f>
        <v>16507</v>
      </c>
      <c r="S96" s="149">
        <f t="shared" ref="S96:AD96" si="65">SUM(S94:S95)</f>
        <v>1375.59</v>
      </c>
      <c r="T96" s="149">
        <f t="shared" si="65"/>
        <v>2751.18</v>
      </c>
      <c r="U96" s="149">
        <f t="shared" si="65"/>
        <v>4126.7699999999995</v>
      </c>
      <c r="V96" s="149">
        <f t="shared" si="65"/>
        <v>5502.36</v>
      </c>
      <c r="W96" s="149">
        <f t="shared" si="65"/>
        <v>6877.9499999999989</v>
      </c>
      <c r="X96" s="149">
        <f t="shared" si="65"/>
        <v>8253.5399999999991</v>
      </c>
      <c r="Y96" s="149">
        <f t="shared" si="65"/>
        <v>9629.1299999999992</v>
      </c>
      <c r="Z96" s="149">
        <f t="shared" si="65"/>
        <v>11004.72</v>
      </c>
      <c r="AA96" s="149">
        <f t="shared" si="65"/>
        <v>12380.31</v>
      </c>
      <c r="AB96" s="149">
        <f t="shared" si="65"/>
        <v>13755.899999999998</v>
      </c>
      <c r="AC96" s="149">
        <f t="shared" si="65"/>
        <v>15131.489999999998</v>
      </c>
      <c r="AD96" s="149">
        <f t="shared" si="65"/>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6">+E$16</f>
        <v>12</v>
      </c>
      <c r="F99" s="79">
        <f t="shared" ref="F99:Q100" si="67">ROUND(+$R99/$E99,2)</f>
        <v>1160.58</v>
      </c>
      <c r="G99" s="79">
        <f t="shared" si="67"/>
        <v>1160.58</v>
      </c>
      <c r="H99" s="79">
        <f t="shared" si="67"/>
        <v>1160.58</v>
      </c>
      <c r="I99" s="79">
        <f t="shared" si="67"/>
        <v>1160.58</v>
      </c>
      <c r="J99" s="79">
        <f t="shared" si="67"/>
        <v>1160.58</v>
      </c>
      <c r="K99" s="79">
        <f t="shared" si="67"/>
        <v>1160.58</v>
      </c>
      <c r="L99" s="79">
        <f t="shared" si="67"/>
        <v>1160.58</v>
      </c>
      <c r="M99" s="79">
        <f t="shared" si="67"/>
        <v>1160.58</v>
      </c>
      <c r="N99" s="79">
        <f t="shared" si="67"/>
        <v>1160.58</v>
      </c>
      <c r="O99" s="79">
        <f t="shared" si="67"/>
        <v>1160.58</v>
      </c>
      <c r="P99" s="79">
        <f t="shared" si="67"/>
        <v>1160.58</v>
      </c>
      <c r="Q99" s="79">
        <f t="shared" si="67"/>
        <v>1160.58</v>
      </c>
      <c r="R99" s="79">
        <f>ROUND('New Year-Full Year'!H99*(1+LEFT('2012 Budget'!D$133,1)/100),0)</f>
        <v>13927</v>
      </c>
      <c r="S99" s="139">
        <f t="shared" ref="S99:S100" si="68">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67"/>
        <v>93.75</v>
      </c>
      <c r="G100" s="79">
        <f t="shared" si="67"/>
        <v>93.75</v>
      </c>
      <c r="H100" s="79">
        <f t="shared" si="67"/>
        <v>93.75</v>
      </c>
      <c r="I100" s="79">
        <f t="shared" si="67"/>
        <v>93.75</v>
      </c>
      <c r="J100" s="71">
        <v>0</v>
      </c>
      <c r="K100" s="71">
        <v>0</v>
      </c>
      <c r="L100" s="71">
        <v>0</v>
      </c>
      <c r="M100" s="71">
        <v>0</v>
      </c>
      <c r="N100" s="79">
        <f t="shared" si="67"/>
        <v>93.75</v>
      </c>
      <c r="O100" s="79">
        <f t="shared" si="67"/>
        <v>93.75</v>
      </c>
      <c r="P100" s="79">
        <f t="shared" si="67"/>
        <v>93.75</v>
      </c>
      <c r="Q100" s="79">
        <f t="shared" si="67"/>
        <v>93.75</v>
      </c>
      <c r="R100" s="71">
        <v>750</v>
      </c>
      <c r="S100" s="139">
        <f t="shared" si="68"/>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468.75</v>
      </c>
      <c r="AB100" s="139">
        <f>SUM($F100:O100)</f>
        <v>562.5</v>
      </c>
      <c r="AC100" s="139">
        <f>SUM($F100:P100)</f>
        <v>656.25</v>
      </c>
      <c r="AD100" s="139">
        <f>SUM($F100:Q100)</f>
        <v>750</v>
      </c>
    </row>
    <row r="101" spans="1:30" s="5" customFormat="1" x14ac:dyDescent="0.25">
      <c r="A101" s="106">
        <v>96</v>
      </c>
      <c r="B101" s="33" t="s">
        <v>66</v>
      </c>
      <c r="C101" s="33"/>
      <c r="D101" s="33"/>
      <c r="E101" s="96"/>
      <c r="F101" s="80">
        <f t="shared" ref="F101:Q101" si="69">SUM(F99:F100)</f>
        <v>1254.33</v>
      </c>
      <c r="G101" s="80">
        <f t="shared" si="69"/>
        <v>1254.33</v>
      </c>
      <c r="H101" s="80">
        <f t="shared" si="69"/>
        <v>1254.33</v>
      </c>
      <c r="I101" s="80">
        <f t="shared" si="69"/>
        <v>1254.33</v>
      </c>
      <c r="J101" s="80">
        <f t="shared" si="69"/>
        <v>1160.58</v>
      </c>
      <c r="K101" s="80">
        <f t="shared" si="69"/>
        <v>1160.58</v>
      </c>
      <c r="L101" s="80">
        <f t="shared" si="69"/>
        <v>1160.58</v>
      </c>
      <c r="M101" s="80">
        <f t="shared" si="69"/>
        <v>1160.58</v>
      </c>
      <c r="N101" s="80">
        <f t="shared" si="69"/>
        <v>1254.33</v>
      </c>
      <c r="O101" s="80">
        <f t="shared" si="69"/>
        <v>1254.33</v>
      </c>
      <c r="P101" s="80">
        <f t="shared" si="69"/>
        <v>1254.33</v>
      </c>
      <c r="Q101" s="80">
        <f t="shared" si="69"/>
        <v>1254.33</v>
      </c>
      <c r="R101" s="80">
        <f>SUM(R99:R100)</f>
        <v>14677</v>
      </c>
      <c r="S101" s="149">
        <f t="shared" ref="S101:AD101" si="70">SUM(S99:S100)</f>
        <v>1254.33</v>
      </c>
      <c r="T101" s="149">
        <f t="shared" si="70"/>
        <v>2508.66</v>
      </c>
      <c r="U101" s="149">
        <f t="shared" si="70"/>
        <v>3762.99</v>
      </c>
      <c r="V101" s="149">
        <f t="shared" si="70"/>
        <v>5017.32</v>
      </c>
      <c r="W101" s="149">
        <f t="shared" si="70"/>
        <v>6177.9</v>
      </c>
      <c r="X101" s="149">
        <f t="shared" si="70"/>
        <v>7338.48</v>
      </c>
      <c r="Y101" s="149">
        <f t="shared" si="70"/>
        <v>8499.06</v>
      </c>
      <c r="Z101" s="149">
        <f t="shared" si="70"/>
        <v>9659.64</v>
      </c>
      <c r="AA101" s="149">
        <f t="shared" si="70"/>
        <v>10913.97</v>
      </c>
      <c r="AB101" s="149">
        <f t="shared" si="70"/>
        <v>12168.3</v>
      </c>
      <c r="AC101" s="149">
        <f t="shared" si="70"/>
        <v>13422.63</v>
      </c>
      <c r="AD101" s="149">
        <f t="shared" si="70"/>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1">+E$16</f>
        <v>12</v>
      </c>
      <c r="F104" s="79">
        <f t="shared" ref="F104:Q109" si="72">ROUND(+$R104/$E104,2)</f>
        <v>2912.83</v>
      </c>
      <c r="G104" s="79">
        <f t="shared" si="72"/>
        <v>2912.83</v>
      </c>
      <c r="H104" s="79">
        <f t="shared" si="72"/>
        <v>2912.83</v>
      </c>
      <c r="I104" s="79">
        <f t="shared" si="72"/>
        <v>2912.83</v>
      </c>
      <c r="J104" s="79">
        <f t="shared" si="72"/>
        <v>2912.83</v>
      </c>
      <c r="K104" s="79">
        <f t="shared" si="72"/>
        <v>2912.83</v>
      </c>
      <c r="L104" s="79">
        <f t="shared" si="72"/>
        <v>2912.83</v>
      </c>
      <c r="M104" s="79">
        <f t="shared" si="72"/>
        <v>2912.83</v>
      </c>
      <c r="N104" s="79">
        <f t="shared" si="72"/>
        <v>2912.83</v>
      </c>
      <c r="O104" s="79">
        <f t="shared" si="72"/>
        <v>2912.83</v>
      </c>
      <c r="P104" s="79">
        <f t="shared" si="72"/>
        <v>2912.83</v>
      </c>
      <c r="Q104" s="79">
        <f t="shared" si="72"/>
        <v>2912.83</v>
      </c>
      <c r="R104" s="71">
        <v>34954</v>
      </c>
      <c r="S104" s="139">
        <f t="shared" ref="S104:S109" si="73">SUM(F104)</f>
        <v>2912.83</v>
      </c>
      <c r="T104" s="139">
        <f>SUM($F104:G104)</f>
        <v>5825.66</v>
      </c>
      <c r="U104" s="139">
        <f>SUM($F104:H104)</f>
        <v>8738.49</v>
      </c>
      <c r="V104" s="139">
        <f>SUM($F104:I104)</f>
        <v>11651.32</v>
      </c>
      <c r="W104" s="139">
        <f>SUM($F104:J104)</f>
        <v>14564.15</v>
      </c>
      <c r="X104" s="139">
        <f>SUM($F104:K104)</f>
        <v>17476.98</v>
      </c>
      <c r="Y104" s="139">
        <f>SUM($F104:L104)</f>
        <v>20389.809999999998</v>
      </c>
      <c r="Z104" s="139">
        <f>SUM($F104:M104)</f>
        <v>23302.639999999999</v>
      </c>
      <c r="AA104" s="139">
        <f>SUM($F104:N104)</f>
        <v>26215.47</v>
      </c>
      <c r="AB104" s="139">
        <f>SUM($F104:O104)</f>
        <v>29128.300000000003</v>
      </c>
      <c r="AC104" s="139">
        <f>SUM($F104:P104)</f>
        <v>32041.130000000005</v>
      </c>
      <c r="AD104" s="139">
        <f>SUM($F104:Q104)</f>
        <v>34953.960000000006</v>
      </c>
    </row>
    <row r="105" spans="1:30" x14ac:dyDescent="0.25">
      <c r="A105" s="106">
        <v>100</v>
      </c>
      <c r="C105" s="1" t="s">
        <v>56</v>
      </c>
      <c r="E105" s="101">
        <f t="shared" si="71"/>
        <v>12</v>
      </c>
      <c r="F105" s="79">
        <f t="shared" si="72"/>
        <v>416.58</v>
      </c>
      <c r="G105" s="79">
        <f t="shared" si="72"/>
        <v>416.58</v>
      </c>
      <c r="H105" s="79">
        <f t="shared" si="72"/>
        <v>416.58</v>
      </c>
      <c r="I105" s="79">
        <f t="shared" si="72"/>
        <v>416.58</v>
      </c>
      <c r="J105" s="79">
        <f t="shared" si="72"/>
        <v>416.58</v>
      </c>
      <c r="K105" s="79">
        <f t="shared" si="72"/>
        <v>416.58</v>
      </c>
      <c r="L105" s="79">
        <f t="shared" si="72"/>
        <v>416.58</v>
      </c>
      <c r="M105" s="79">
        <f t="shared" si="72"/>
        <v>416.58</v>
      </c>
      <c r="N105" s="79">
        <f t="shared" si="72"/>
        <v>416.58</v>
      </c>
      <c r="O105" s="79">
        <f t="shared" si="72"/>
        <v>416.58</v>
      </c>
      <c r="P105" s="79">
        <f t="shared" si="72"/>
        <v>416.58</v>
      </c>
      <c r="Q105" s="79">
        <f t="shared" si="72"/>
        <v>416.58</v>
      </c>
      <c r="R105" s="71">
        <v>4999</v>
      </c>
      <c r="S105" s="139">
        <f t="shared" si="73"/>
        <v>416.58</v>
      </c>
      <c r="T105" s="139">
        <f>SUM($F105:G105)</f>
        <v>833.16</v>
      </c>
      <c r="U105" s="139">
        <f>SUM($F105:H105)</f>
        <v>1249.74</v>
      </c>
      <c r="V105" s="139">
        <f>SUM($F105:I105)</f>
        <v>1666.32</v>
      </c>
      <c r="W105" s="139">
        <f>SUM($F105:J105)</f>
        <v>2082.9</v>
      </c>
      <c r="X105" s="139">
        <f>SUM($F105:K105)</f>
        <v>2499.48</v>
      </c>
      <c r="Y105" s="139">
        <f>SUM($F105:L105)</f>
        <v>2916.06</v>
      </c>
      <c r="Z105" s="139">
        <f>SUM($F105:M105)</f>
        <v>3332.64</v>
      </c>
      <c r="AA105" s="139">
        <f>SUM($F105:N105)</f>
        <v>3749.22</v>
      </c>
      <c r="AB105" s="139">
        <f>SUM($F105:O105)</f>
        <v>4165.8</v>
      </c>
      <c r="AC105" s="139">
        <f>SUM($F105:P105)</f>
        <v>4582.38</v>
      </c>
      <c r="AD105" s="139">
        <f>SUM($F105:Q105)</f>
        <v>4998.96</v>
      </c>
    </row>
    <row r="106" spans="1:30" x14ac:dyDescent="0.25">
      <c r="A106" s="106">
        <v>101</v>
      </c>
      <c r="C106" s="1" t="s">
        <v>58</v>
      </c>
      <c r="E106" s="101">
        <f t="shared" si="71"/>
        <v>12</v>
      </c>
      <c r="F106" s="79">
        <f t="shared" si="72"/>
        <v>62.5</v>
      </c>
      <c r="G106" s="79">
        <f t="shared" si="72"/>
        <v>62.5</v>
      </c>
      <c r="H106" s="79">
        <f t="shared" si="72"/>
        <v>62.5</v>
      </c>
      <c r="I106" s="79">
        <f t="shared" si="72"/>
        <v>62.5</v>
      </c>
      <c r="J106" s="79">
        <f t="shared" si="72"/>
        <v>62.5</v>
      </c>
      <c r="K106" s="79">
        <f t="shared" si="72"/>
        <v>62.5</v>
      </c>
      <c r="L106" s="79">
        <f t="shared" si="72"/>
        <v>62.5</v>
      </c>
      <c r="M106" s="79">
        <f t="shared" si="72"/>
        <v>62.5</v>
      </c>
      <c r="N106" s="79">
        <f t="shared" si="72"/>
        <v>62.5</v>
      </c>
      <c r="O106" s="79">
        <f t="shared" si="72"/>
        <v>62.5</v>
      </c>
      <c r="P106" s="79">
        <f t="shared" si="72"/>
        <v>62.5</v>
      </c>
      <c r="Q106" s="79">
        <f t="shared" si="72"/>
        <v>62.5</v>
      </c>
      <c r="R106" s="71">
        <v>750</v>
      </c>
      <c r="S106" s="139">
        <f t="shared" si="73"/>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1"/>
        <v>12</v>
      </c>
      <c r="F107" s="79">
        <f t="shared" si="72"/>
        <v>166.67</v>
      </c>
      <c r="G107" s="79">
        <f t="shared" si="72"/>
        <v>166.67</v>
      </c>
      <c r="H107" s="79">
        <f t="shared" si="72"/>
        <v>166.67</v>
      </c>
      <c r="I107" s="79">
        <f t="shared" si="72"/>
        <v>166.67</v>
      </c>
      <c r="J107" s="79">
        <f t="shared" si="72"/>
        <v>166.67</v>
      </c>
      <c r="K107" s="79">
        <f t="shared" si="72"/>
        <v>166.67</v>
      </c>
      <c r="L107" s="79">
        <f t="shared" si="72"/>
        <v>166.67</v>
      </c>
      <c r="M107" s="79">
        <f t="shared" si="72"/>
        <v>166.67</v>
      </c>
      <c r="N107" s="79">
        <f t="shared" si="72"/>
        <v>166.67</v>
      </c>
      <c r="O107" s="79">
        <f t="shared" si="72"/>
        <v>166.67</v>
      </c>
      <c r="P107" s="79">
        <f t="shared" si="72"/>
        <v>166.67</v>
      </c>
      <c r="Q107" s="79">
        <f t="shared" si="72"/>
        <v>166.67</v>
      </c>
      <c r="R107" s="71">
        <v>2000</v>
      </c>
      <c r="S107" s="139">
        <f t="shared" si="73"/>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1"/>
        <v>12</v>
      </c>
      <c r="F108" s="79">
        <f t="shared" si="72"/>
        <v>125</v>
      </c>
      <c r="G108" s="79">
        <f t="shared" si="72"/>
        <v>125</v>
      </c>
      <c r="H108" s="79">
        <f t="shared" si="72"/>
        <v>125</v>
      </c>
      <c r="I108" s="79">
        <f t="shared" si="72"/>
        <v>125</v>
      </c>
      <c r="J108" s="79">
        <f t="shared" si="72"/>
        <v>125</v>
      </c>
      <c r="K108" s="79">
        <f t="shared" si="72"/>
        <v>125</v>
      </c>
      <c r="L108" s="79">
        <f t="shared" si="72"/>
        <v>125</v>
      </c>
      <c r="M108" s="79">
        <f t="shared" si="72"/>
        <v>125</v>
      </c>
      <c r="N108" s="79">
        <f t="shared" si="72"/>
        <v>125</v>
      </c>
      <c r="O108" s="79">
        <f t="shared" si="72"/>
        <v>125</v>
      </c>
      <c r="P108" s="79">
        <f t="shared" si="72"/>
        <v>125</v>
      </c>
      <c r="Q108" s="79">
        <f t="shared" si="72"/>
        <v>125</v>
      </c>
      <c r="R108" s="71">
        <v>1500</v>
      </c>
      <c r="S108" s="139">
        <f t="shared" si="73"/>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1"/>
        <v>12</v>
      </c>
      <c r="F109" s="79">
        <f t="shared" si="72"/>
        <v>93</v>
      </c>
      <c r="G109" s="79">
        <f t="shared" si="72"/>
        <v>93</v>
      </c>
      <c r="H109" s="79">
        <f t="shared" si="72"/>
        <v>93</v>
      </c>
      <c r="I109" s="79">
        <f t="shared" si="72"/>
        <v>93</v>
      </c>
      <c r="J109" s="79">
        <f t="shared" si="72"/>
        <v>93</v>
      </c>
      <c r="K109" s="79">
        <f t="shared" si="72"/>
        <v>93</v>
      </c>
      <c r="L109" s="79">
        <f t="shared" si="72"/>
        <v>93</v>
      </c>
      <c r="M109" s="79">
        <f t="shared" si="72"/>
        <v>93</v>
      </c>
      <c r="N109" s="79">
        <f t="shared" si="72"/>
        <v>93</v>
      </c>
      <c r="O109" s="79">
        <f t="shared" si="72"/>
        <v>93</v>
      </c>
      <c r="P109" s="79">
        <f t="shared" si="72"/>
        <v>93</v>
      </c>
      <c r="Q109" s="79">
        <f t="shared" si="72"/>
        <v>93</v>
      </c>
      <c r="R109" s="71">
        <v>1116</v>
      </c>
      <c r="S109" s="139">
        <f t="shared" si="73"/>
        <v>93</v>
      </c>
      <c r="T109" s="139">
        <f>SUM($F109:G109)</f>
        <v>186</v>
      </c>
      <c r="U109" s="139">
        <f>SUM($F109:H109)</f>
        <v>279</v>
      </c>
      <c r="V109" s="139">
        <f>SUM($F109:I109)</f>
        <v>372</v>
      </c>
      <c r="W109" s="139">
        <f>SUM($F109:J109)</f>
        <v>465</v>
      </c>
      <c r="X109" s="139">
        <f>SUM($F109:K109)</f>
        <v>558</v>
      </c>
      <c r="Y109" s="139">
        <f>SUM($F109:L109)</f>
        <v>651</v>
      </c>
      <c r="Z109" s="139">
        <f>SUM($F109:M109)</f>
        <v>744</v>
      </c>
      <c r="AA109" s="139">
        <f>SUM($F109:N109)</f>
        <v>837</v>
      </c>
      <c r="AB109" s="139">
        <f>SUM($F109:O109)</f>
        <v>930</v>
      </c>
      <c r="AC109" s="139">
        <f>SUM($F109:P109)</f>
        <v>1023</v>
      </c>
      <c r="AD109" s="139">
        <f>SUM($F109:Q109)</f>
        <v>1116</v>
      </c>
    </row>
    <row r="110" spans="1:30" s="5" customFormat="1" x14ac:dyDescent="0.25">
      <c r="A110" s="106">
        <v>105</v>
      </c>
      <c r="B110" s="33" t="s">
        <v>69</v>
      </c>
      <c r="C110" s="33"/>
      <c r="D110" s="33"/>
      <c r="E110" s="96"/>
      <c r="F110" s="80">
        <f t="shared" ref="F110:Q110" si="74">SUM(F104:F109)</f>
        <v>3776.58</v>
      </c>
      <c r="G110" s="80">
        <f t="shared" si="74"/>
        <v>3776.58</v>
      </c>
      <c r="H110" s="80">
        <f t="shared" si="74"/>
        <v>3776.58</v>
      </c>
      <c r="I110" s="80">
        <f t="shared" si="74"/>
        <v>3776.58</v>
      </c>
      <c r="J110" s="80">
        <f t="shared" si="74"/>
        <v>3776.58</v>
      </c>
      <c r="K110" s="80">
        <f t="shared" si="74"/>
        <v>3776.58</v>
      </c>
      <c r="L110" s="80">
        <f t="shared" si="74"/>
        <v>3776.58</v>
      </c>
      <c r="M110" s="80">
        <f t="shared" si="74"/>
        <v>3776.58</v>
      </c>
      <c r="N110" s="80">
        <f t="shared" si="74"/>
        <v>3776.58</v>
      </c>
      <c r="O110" s="80">
        <f t="shared" si="74"/>
        <v>3776.58</v>
      </c>
      <c r="P110" s="80">
        <f t="shared" si="74"/>
        <v>3776.58</v>
      </c>
      <c r="Q110" s="80">
        <f t="shared" si="74"/>
        <v>3776.58</v>
      </c>
      <c r="R110" s="80">
        <f>SUM(R104:R109)</f>
        <v>45319</v>
      </c>
      <c r="S110" s="149">
        <f t="shared" ref="S110:AD110" si="75">SUM(S104:S109)</f>
        <v>3776.58</v>
      </c>
      <c r="T110" s="149">
        <f t="shared" si="75"/>
        <v>7553.16</v>
      </c>
      <c r="U110" s="149">
        <f t="shared" si="75"/>
        <v>11329.74</v>
      </c>
      <c r="V110" s="149">
        <f t="shared" si="75"/>
        <v>15106.32</v>
      </c>
      <c r="W110" s="149">
        <f t="shared" si="75"/>
        <v>18882.899999999998</v>
      </c>
      <c r="X110" s="149">
        <f t="shared" si="75"/>
        <v>22659.48</v>
      </c>
      <c r="Y110" s="149">
        <f t="shared" si="75"/>
        <v>26436.059999999998</v>
      </c>
      <c r="Z110" s="149">
        <f t="shared" si="75"/>
        <v>30212.639999999999</v>
      </c>
      <c r="AA110" s="149">
        <f t="shared" si="75"/>
        <v>33989.22</v>
      </c>
      <c r="AB110" s="149">
        <f t="shared" si="75"/>
        <v>37765.800000000003</v>
      </c>
      <c r="AC110" s="149">
        <f t="shared" si="75"/>
        <v>41542.380000000005</v>
      </c>
      <c r="AD110" s="149">
        <f t="shared" si="75"/>
        <v>45318.960000000006</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6">+E$16</f>
        <v>12</v>
      </c>
      <c r="F113" s="79">
        <f t="shared" ref="F113:Q118" si="77">ROUND(+$R113/$E113,2)</f>
        <v>798.33</v>
      </c>
      <c r="G113" s="79">
        <f t="shared" si="77"/>
        <v>798.33</v>
      </c>
      <c r="H113" s="79">
        <f t="shared" si="77"/>
        <v>798.33</v>
      </c>
      <c r="I113" s="79">
        <f t="shared" si="77"/>
        <v>798.33</v>
      </c>
      <c r="J113" s="79">
        <f t="shared" si="77"/>
        <v>798.33</v>
      </c>
      <c r="K113" s="79">
        <f t="shared" si="77"/>
        <v>798.33</v>
      </c>
      <c r="L113" s="79">
        <f t="shared" si="77"/>
        <v>798.33</v>
      </c>
      <c r="M113" s="79">
        <f t="shared" si="77"/>
        <v>798.33</v>
      </c>
      <c r="N113" s="79">
        <f t="shared" si="77"/>
        <v>798.33</v>
      </c>
      <c r="O113" s="79">
        <f t="shared" si="77"/>
        <v>798.33</v>
      </c>
      <c r="P113" s="79">
        <f t="shared" si="77"/>
        <v>798.33</v>
      </c>
      <c r="Q113" s="79">
        <f t="shared" si="77"/>
        <v>798.33</v>
      </c>
      <c r="R113" s="79">
        <f>ROUND('New Year-Full Year'!H113*(1+LEFT('2012 Budget'!D$133,1)/100),0)</f>
        <v>9580</v>
      </c>
      <c r="S113" s="139">
        <f t="shared" ref="S113:S118" si="78">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76"/>
        <v>12</v>
      </c>
      <c r="F114" s="79">
        <f t="shared" si="77"/>
        <v>41.67</v>
      </c>
      <c r="G114" s="79">
        <f t="shared" si="77"/>
        <v>41.67</v>
      </c>
      <c r="H114" s="79">
        <f t="shared" si="77"/>
        <v>41.67</v>
      </c>
      <c r="I114" s="79">
        <f t="shared" si="77"/>
        <v>41.67</v>
      </c>
      <c r="J114" s="79">
        <f t="shared" si="77"/>
        <v>41.67</v>
      </c>
      <c r="K114" s="79">
        <f t="shared" si="77"/>
        <v>41.67</v>
      </c>
      <c r="L114" s="79">
        <f t="shared" si="77"/>
        <v>41.67</v>
      </c>
      <c r="M114" s="79">
        <f t="shared" si="77"/>
        <v>41.67</v>
      </c>
      <c r="N114" s="79">
        <f t="shared" si="77"/>
        <v>41.67</v>
      </c>
      <c r="O114" s="79">
        <f t="shared" si="77"/>
        <v>41.67</v>
      </c>
      <c r="P114" s="79">
        <f t="shared" si="77"/>
        <v>41.67</v>
      </c>
      <c r="Q114" s="79">
        <f t="shared" si="77"/>
        <v>41.67</v>
      </c>
      <c r="R114" s="71">
        <v>500</v>
      </c>
      <c r="S114" s="139">
        <f t="shared" si="78"/>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6"/>
        <v>12</v>
      </c>
      <c r="F115" s="79">
        <f t="shared" si="77"/>
        <v>1512.67</v>
      </c>
      <c r="G115" s="79">
        <f t="shared" si="77"/>
        <v>1512.67</v>
      </c>
      <c r="H115" s="79">
        <f t="shared" si="77"/>
        <v>1512.67</v>
      </c>
      <c r="I115" s="79">
        <f t="shared" si="77"/>
        <v>1512.67</v>
      </c>
      <c r="J115" s="79">
        <f t="shared" si="77"/>
        <v>1512.67</v>
      </c>
      <c r="K115" s="79">
        <f t="shared" si="77"/>
        <v>1512.67</v>
      </c>
      <c r="L115" s="79">
        <f t="shared" si="77"/>
        <v>1512.67</v>
      </c>
      <c r="M115" s="79">
        <f t="shared" si="77"/>
        <v>1512.67</v>
      </c>
      <c r="N115" s="79">
        <f t="shared" si="77"/>
        <v>1512.67</v>
      </c>
      <c r="O115" s="79">
        <f t="shared" si="77"/>
        <v>1512.67</v>
      </c>
      <c r="P115" s="79">
        <f t="shared" si="77"/>
        <v>1512.67</v>
      </c>
      <c r="Q115" s="79">
        <f t="shared" si="77"/>
        <v>1512.67</v>
      </c>
      <c r="R115" s="79">
        <f>ROUND('New Year-Full Year'!H115*(1+LEFT('2012 Budget'!D$133,1)/100),0)</f>
        <v>18152</v>
      </c>
      <c r="S115" s="139">
        <f t="shared" si="78"/>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77"/>
        <v>671.3</v>
      </c>
      <c r="G116" s="79">
        <f t="shared" si="77"/>
        <v>671.3</v>
      </c>
      <c r="H116" s="79">
        <f t="shared" si="77"/>
        <v>671.3</v>
      </c>
      <c r="I116" s="79">
        <f t="shared" si="77"/>
        <v>671.3</v>
      </c>
      <c r="J116" s="79">
        <f t="shared" si="77"/>
        <v>671.3</v>
      </c>
      <c r="K116" s="79">
        <f t="shared" si="77"/>
        <v>671.3</v>
      </c>
      <c r="L116" s="71">
        <v>0</v>
      </c>
      <c r="M116" s="71">
        <v>0</v>
      </c>
      <c r="N116" s="79">
        <f t="shared" si="77"/>
        <v>671.3</v>
      </c>
      <c r="O116" s="79">
        <f t="shared" si="77"/>
        <v>671.3</v>
      </c>
      <c r="P116" s="79">
        <f t="shared" si="77"/>
        <v>671.3</v>
      </c>
      <c r="Q116" s="79">
        <f t="shared" si="77"/>
        <v>671.3</v>
      </c>
      <c r="R116" s="79">
        <f>ROUND('New Year-Full Year'!H116*(1+LEFT('2012 Budget'!D$133,1)/100),0)</f>
        <v>6713</v>
      </c>
      <c r="S116" s="139">
        <f t="shared" si="78"/>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79">+E$16</f>
        <v>12</v>
      </c>
      <c r="F117" s="79">
        <f t="shared" si="77"/>
        <v>141.5</v>
      </c>
      <c r="G117" s="79">
        <f t="shared" si="77"/>
        <v>141.5</v>
      </c>
      <c r="H117" s="79">
        <f t="shared" si="77"/>
        <v>141.5</v>
      </c>
      <c r="I117" s="79">
        <f t="shared" si="77"/>
        <v>141.5</v>
      </c>
      <c r="J117" s="79">
        <f t="shared" si="77"/>
        <v>141.5</v>
      </c>
      <c r="K117" s="79">
        <f t="shared" si="77"/>
        <v>141.5</v>
      </c>
      <c r="L117" s="79">
        <f t="shared" si="77"/>
        <v>141.5</v>
      </c>
      <c r="M117" s="79">
        <f t="shared" si="77"/>
        <v>141.5</v>
      </c>
      <c r="N117" s="79">
        <f t="shared" si="77"/>
        <v>141.5</v>
      </c>
      <c r="O117" s="79">
        <f t="shared" si="77"/>
        <v>141.5</v>
      </c>
      <c r="P117" s="79">
        <f t="shared" si="77"/>
        <v>141.5</v>
      </c>
      <c r="Q117" s="79">
        <f t="shared" si="77"/>
        <v>141.5</v>
      </c>
      <c r="R117" s="79">
        <f>ROUND('New Year-Full Year'!H117*(1+LEFT('2012 Budget'!D$133,1)/100),0)</f>
        <v>1698</v>
      </c>
      <c r="S117" s="139">
        <f t="shared" si="78"/>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9"/>
        <v>12</v>
      </c>
      <c r="F118" s="79">
        <f t="shared" si="77"/>
        <v>200</v>
      </c>
      <c r="G118" s="79">
        <f t="shared" si="77"/>
        <v>200</v>
      </c>
      <c r="H118" s="79">
        <f t="shared" si="77"/>
        <v>200</v>
      </c>
      <c r="I118" s="79">
        <f t="shared" si="77"/>
        <v>200</v>
      </c>
      <c r="J118" s="79">
        <f t="shared" si="77"/>
        <v>200</v>
      </c>
      <c r="K118" s="79">
        <f t="shared" si="77"/>
        <v>200</v>
      </c>
      <c r="L118" s="79">
        <f t="shared" si="77"/>
        <v>200</v>
      </c>
      <c r="M118" s="79">
        <f t="shared" si="77"/>
        <v>200</v>
      </c>
      <c r="N118" s="79">
        <f t="shared" si="77"/>
        <v>200</v>
      </c>
      <c r="O118" s="79">
        <f t="shared" si="77"/>
        <v>200</v>
      </c>
      <c r="P118" s="79">
        <f t="shared" si="77"/>
        <v>200</v>
      </c>
      <c r="Q118" s="79">
        <f t="shared" si="77"/>
        <v>200</v>
      </c>
      <c r="R118" s="71">
        <v>2400</v>
      </c>
      <c r="S118" s="139">
        <f t="shared" si="7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80">SUM(F113:F118)</f>
        <v>3365.4700000000003</v>
      </c>
      <c r="G119" s="80">
        <f t="shared" si="80"/>
        <v>3365.4700000000003</v>
      </c>
      <c r="H119" s="80">
        <f t="shared" si="80"/>
        <v>3365.4700000000003</v>
      </c>
      <c r="I119" s="80">
        <f t="shared" si="80"/>
        <v>3365.4700000000003</v>
      </c>
      <c r="J119" s="80">
        <f t="shared" si="80"/>
        <v>3365.4700000000003</v>
      </c>
      <c r="K119" s="80">
        <f t="shared" si="80"/>
        <v>3365.4700000000003</v>
      </c>
      <c r="L119" s="80">
        <f t="shared" si="80"/>
        <v>2694.17</v>
      </c>
      <c r="M119" s="80">
        <f t="shared" si="80"/>
        <v>2694.17</v>
      </c>
      <c r="N119" s="80">
        <f t="shared" si="80"/>
        <v>3365.4700000000003</v>
      </c>
      <c r="O119" s="80">
        <f t="shared" si="80"/>
        <v>3365.4700000000003</v>
      </c>
      <c r="P119" s="80">
        <f t="shared" si="80"/>
        <v>3365.4700000000003</v>
      </c>
      <c r="Q119" s="80">
        <f t="shared" si="80"/>
        <v>3365.4700000000003</v>
      </c>
      <c r="R119" s="80">
        <f>SUM(R113:R118)</f>
        <v>39043</v>
      </c>
      <c r="S119" s="149">
        <f t="shared" ref="S119:AD119" si="81">SUM(S113:S118)</f>
        <v>3365.4700000000003</v>
      </c>
      <c r="T119" s="149">
        <f t="shared" si="81"/>
        <v>6730.9400000000005</v>
      </c>
      <c r="U119" s="149">
        <f t="shared" si="81"/>
        <v>10096.41</v>
      </c>
      <c r="V119" s="149">
        <f t="shared" si="81"/>
        <v>13461.880000000001</v>
      </c>
      <c r="W119" s="149">
        <f t="shared" si="81"/>
        <v>16827.349999999999</v>
      </c>
      <c r="X119" s="149">
        <f t="shared" si="81"/>
        <v>20192.82</v>
      </c>
      <c r="Y119" s="149">
        <f t="shared" si="81"/>
        <v>22886.99</v>
      </c>
      <c r="Z119" s="149">
        <f t="shared" si="81"/>
        <v>25581.16</v>
      </c>
      <c r="AA119" s="149">
        <f t="shared" si="81"/>
        <v>28946.629999999997</v>
      </c>
      <c r="AB119" s="149">
        <f t="shared" si="81"/>
        <v>32312.100000000002</v>
      </c>
      <c r="AC119" s="149">
        <f t="shared" si="81"/>
        <v>35677.570000000007</v>
      </c>
      <c r="AD119" s="149">
        <f t="shared" si="81"/>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f t="shared" ref="E122:E128" si="82">+E$16</f>
        <v>12</v>
      </c>
      <c r="F122" s="79">
        <f t="shared" ref="F122:Q131" si="83">ROUND(+$R122/$E122,2)</f>
        <v>1006.25</v>
      </c>
      <c r="G122" s="79">
        <f t="shared" si="83"/>
        <v>1006.25</v>
      </c>
      <c r="H122" s="79">
        <f t="shared" si="83"/>
        <v>1006.25</v>
      </c>
      <c r="I122" s="79">
        <f t="shared" si="83"/>
        <v>1006.25</v>
      </c>
      <c r="J122" s="79">
        <f t="shared" si="83"/>
        <v>1006.25</v>
      </c>
      <c r="K122" s="79">
        <f t="shared" si="83"/>
        <v>1006.25</v>
      </c>
      <c r="L122" s="79">
        <f t="shared" si="83"/>
        <v>1006.25</v>
      </c>
      <c r="M122" s="79">
        <f t="shared" si="83"/>
        <v>1006.25</v>
      </c>
      <c r="N122" s="79">
        <f t="shared" si="83"/>
        <v>1006.25</v>
      </c>
      <c r="O122" s="79">
        <f t="shared" si="83"/>
        <v>1006.25</v>
      </c>
      <c r="P122" s="79">
        <f t="shared" si="83"/>
        <v>1006.25</v>
      </c>
      <c r="Q122" s="79">
        <f t="shared" si="83"/>
        <v>1006.25</v>
      </c>
      <c r="R122" s="71">
        <v>12075</v>
      </c>
      <c r="S122" s="139">
        <f t="shared" ref="S122:S131" si="84">SUM(F122)</f>
        <v>1006.25</v>
      </c>
      <c r="T122" s="139">
        <f>SUM($F122:G122)</f>
        <v>2012.5</v>
      </c>
      <c r="U122" s="139">
        <f>SUM($F122:H122)</f>
        <v>3018.75</v>
      </c>
      <c r="V122" s="139">
        <f>SUM($F122:I122)</f>
        <v>4025</v>
      </c>
      <c r="W122" s="139">
        <f>SUM($F122:J122)</f>
        <v>5031.25</v>
      </c>
      <c r="X122" s="139">
        <f>SUM($F122:K122)</f>
        <v>6037.5</v>
      </c>
      <c r="Y122" s="139">
        <f>SUM($F122:L122)</f>
        <v>7043.75</v>
      </c>
      <c r="Z122" s="139">
        <f>SUM($F122:M122)</f>
        <v>8050</v>
      </c>
      <c r="AA122" s="139">
        <f>SUM($F122:N122)</f>
        <v>9056.25</v>
      </c>
      <c r="AB122" s="139">
        <f>SUM($F122:O122)</f>
        <v>10062.5</v>
      </c>
      <c r="AC122" s="139">
        <f>SUM($F122:P122)</f>
        <v>11068.75</v>
      </c>
      <c r="AD122" s="139">
        <f>SUM($F122:Q122)</f>
        <v>12075</v>
      </c>
    </row>
    <row r="123" spans="1:30" x14ac:dyDescent="0.25">
      <c r="A123" s="106">
        <v>118</v>
      </c>
      <c r="C123" s="1" t="s">
        <v>80</v>
      </c>
      <c r="E123" s="101">
        <f t="shared" si="82"/>
        <v>12</v>
      </c>
      <c r="F123" s="79">
        <f t="shared" si="83"/>
        <v>2643.17</v>
      </c>
      <c r="G123" s="79">
        <f t="shared" si="83"/>
        <v>2643.17</v>
      </c>
      <c r="H123" s="79">
        <f t="shared" si="83"/>
        <v>2643.17</v>
      </c>
      <c r="I123" s="79">
        <f t="shared" si="83"/>
        <v>2643.17</v>
      </c>
      <c r="J123" s="79">
        <f t="shared" si="83"/>
        <v>2643.17</v>
      </c>
      <c r="K123" s="79">
        <f t="shared" si="83"/>
        <v>2643.17</v>
      </c>
      <c r="L123" s="79">
        <f t="shared" si="83"/>
        <v>2643.17</v>
      </c>
      <c r="M123" s="79">
        <f t="shared" si="83"/>
        <v>2643.17</v>
      </c>
      <c r="N123" s="79">
        <f t="shared" si="83"/>
        <v>2643.17</v>
      </c>
      <c r="O123" s="79">
        <f t="shared" si="83"/>
        <v>2643.17</v>
      </c>
      <c r="P123" s="79">
        <f t="shared" si="83"/>
        <v>2643.17</v>
      </c>
      <c r="Q123" s="79">
        <f t="shared" si="83"/>
        <v>2643.17</v>
      </c>
      <c r="R123" s="79">
        <f>ROUND('New Year-Full Year'!H123*(1+LEFT('2012 Budget'!D$133,1)/100),0)</f>
        <v>31718</v>
      </c>
      <c r="S123" s="139">
        <f t="shared" si="84"/>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82"/>
        <v>12</v>
      </c>
      <c r="F124" s="79">
        <f t="shared" si="83"/>
        <v>41.67</v>
      </c>
      <c r="G124" s="79">
        <f t="shared" si="83"/>
        <v>41.67</v>
      </c>
      <c r="H124" s="79">
        <f t="shared" si="83"/>
        <v>41.67</v>
      </c>
      <c r="I124" s="79">
        <f t="shared" si="83"/>
        <v>41.67</v>
      </c>
      <c r="J124" s="79">
        <f t="shared" si="83"/>
        <v>41.67</v>
      </c>
      <c r="K124" s="79">
        <f t="shared" si="83"/>
        <v>41.67</v>
      </c>
      <c r="L124" s="79">
        <f t="shared" si="83"/>
        <v>41.67</v>
      </c>
      <c r="M124" s="79">
        <f t="shared" si="83"/>
        <v>41.67</v>
      </c>
      <c r="N124" s="79">
        <f t="shared" si="83"/>
        <v>41.67</v>
      </c>
      <c r="O124" s="79">
        <f t="shared" si="83"/>
        <v>41.67</v>
      </c>
      <c r="P124" s="79">
        <f t="shared" si="83"/>
        <v>41.67</v>
      </c>
      <c r="Q124" s="79">
        <f t="shared" si="83"/>
        <v>41.67</v>
      </c>
      <c r="R124" s="71">
        <v>500</v>
      </c>
      <c r="S124" s="139">
        <f t="shared" si="84"/>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82"/>
        <v>12</v>
      </c>
      <c r="F125" s="79">
        <f t="shared" si="83"/>
        <v>83.33</v>
      </c>
      <c r="G125" s="79">
        <f t="shared" si="83"/>
        <v>83.33</v>
      </c>
      <c r="H125" s="79">
        <f t="shared" si="83"/>
        <v>83.33</v>
      </c>
      <c r="I125" s="79">
        <f t="shared" si="83"/>
        <v>83.33</v>
      </c>
      <c r="J125" s="79">
        <f t="shared" si="83"/>
        <v>83.33</v>
      </c>
      <c r="K125" s="79">
        <f t="shared" si="83"/>
        <v>83.33</v>
      </c>
      <c r="L125" s="79">
        <f t="shared" si="83"/>
        <v>83.33</v>
      </c>
      <c r="M125" s="79">
        <f t="shared" si="83"/>
        <v>83.33</v>
      </c>
      <c r="N125" s="79">
        <f t="shared" si="83"/>
        <v>83.33</v>
      </c>
      <c r="O125" s="79">
        <f t="shared" si="83"/>
        <v>83.33</v>
      </c>
      <c r="P125" s="79">
        <f t="shared" si="83"/>
        <v>83.33</v>
      </c>
      <c r="Q125" s="79">
        <f t="shared" si="83"/>
        <v>83.33</v>
      </c>
      <c r="R125" s="71">
        <v>1000</v>
      </c>
      <c r="S125" s="139">
        <f t="shared" si="84"/>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82"/>
        <v>12</v>
      </c>
      <c r="F126" s="79">
        <f t="shared" si="83"/>
        <v>50</v>
      </c>
      <c r="G126" s="79">
        <f t="shared" si="83"/>
        <v>50</v>
      </c>
      <c r="H126" s="79">
        <f t="shared" si="83"/>
        <v>50</v>
      </c>
      <c r="I126" s="79">
        <f t="shared" si="83"/>
        <v>50</v>
      </c>
      <c r="J126" s="79">
        <f t="shared" si="83"/>
        <v>50</v>
      </c>
      <c r="K126" s="79">
        <f t="shared" si="83"/>
        <v>50</v>
      </c>
      <c r="L126" s="79">
        <f t="shared" si="83"/>
        <v>50</v>
      </c>
      <c r="M126" s="79">
        <f t="shared" si="83"/>
        <v>50</v>
      </c>
      <c r="N126" s="79">
        <f t="shared" si="83"/>
        <v>50</v>
      </c>
      <c r="O126" s="79">
        <f t="shared" si="83"/>
        <v>50</v>
      </c>
      <c r="P126" s="79">
        <f t="shared" si="83"/>
        <v>50</v>
      </c>
      <c r="Q126" s="79">
        <f t="shared" si="83"/>
        <v>50</v>
      </c>
      <c r="R126" s="71">
        <f>7.5*4*20</f>
        <v>600</v>
      </c>
      <c r="S126" s="139">
        <f t="shared" si="84"/>
        <v>50</v>
      </c>
      <c r="T126" s="139">
        <f>SUM($F126:G126)</f>
        <v>100</v>
      </c>
      <c r="U126" s="139">
        <f>SUM($F126:H126)</f>
        <v>150</v>
      </c>
      <c r="V126" s="139">
        <f>SUM($F126:I126)</f>
        <v>200</v>
      </c>
      <c r="W126" s="139">
        <f>SUM($F126:J126)</f>
        <v>250</v>
      </c>
      <c r="X126" s="139">
        <f>SUM($F126:K126)</f>
        <v>300</v>
      </c>
      <c r="Y126" s="139">
        <f>SUM($F126:L126)</f>
        <v>350</v>
      </c>
      <c r="Z126" s="139">
        <f>SUM($F126:M126)</f>
        <v>400</v>
      </c>
      <c r="AA126" s="139">
        <f>SUM($F126:N126)</f>
        <v>450</v>
      </c>
      <c r="AB126" s="139">
        <f>SUM($F126:O126)</f>
        <v>500</v>
      </c>
      <c r="AC126" s="139">
        <f>SUM($F126:P126)</f>
        <v>550</v>
      </c>
      <c r="AD126" s="139">
        <f>SUM($F126:Q126)</f>
        <v>600</v>
      </c>
    </row>
    <row r="127" spans="1:30" x14ac:dyDescent="0.25">
      <c r="A127" s="106">
        <v>122</v>
      </c>
      <c r="C127" s="1" t="s">
        <v>125</v>
      </c>
      <c r="E127" s="101">
        <f t="shared" si="82"/>
        <v>12</v>
      </c>
      <c r="F127" s="79">
        <f t="shared" si="83"/>
        <v>1437.5</v>
      </c>
      <c r="G127" s="79">
        <f t="shared" si="83"/>
        <v>1437.5</v>
      </c>
      <c r="H127" s="79">
        <f t="shared" si="83"/>
        <v>1437.5</v>
      </c>
      <c r="I127" s="79">
        <f t="shared" si="83"/>
        <v>1437.5</v>
      </c>
      <c r="J127" s="79">
        <f t="shared" si="83"/>
        <v>1437.5</v>
      </c>
      <c r="K127" s="79">
        <f t="shared" si="83"/>
        <v>1437.5</v>
      </c>
      <c r="L127" s="79">
        <f t="shared" si="83"/>
        <v>1437.5</v>
      </c>
      <c r="M127" s="79">
        <f t="shared" si="83"/>
        <v>1437.5</v>
      </c>
      <c r="N127" s="79">
        <f t="shared" si="83"/>
        <v>1437.5</v>
      </c>
      <c r="O127" s="79">
        <f t="shared" si="83"/>
        <v>1437.5</v>
      </c>
      <c r="P127" s="79">
        <f t="shared" si="83"/>
        <v>1437.5</v>
      </c>
      <c r="Q127" s="79">
        <f t="shared" si="83"/>
        <v>1437.5</v>
      </c>
      <c r="R127" s="71">
        <f>11.5*30*50</f>
        <v>17250</v>
      </c>
      <c r="S127" s="139">
        <f t="shared" si="84"/>
        <v>1437.5</v>
      </c>
      <c r="T127" s="139">
        <f>SUM($F127:G127)</f>
        <v>2875</v>
      </c>
      <c r="U127" s="139">
        <f>SUM($F127:H127)</f>
        <v>4312.5</v>
      </c>
      <c r="V127" s="139">
        <f>SUM($F127:I127)</f>
        <v>5750</v>
      </c>
      <c r="W127" s="139">
        <f>SUM($F127:J127)</f>
        <v>7187.5</v>
      </c>
      <c r="X127" s="139">
        <f>SUM($F127:K127)</f>
        <v>8625</v>
      </c>
      <c r="Y127" s="139">
        <f>SUM($F127:L127)</f>
        <v>10062.5</v>
      </c>
      <c r="Z127" s="139">
        <f>SUM($F127:M127)</f>
        <v>11500</v>
      </c>
      <c r="AA127" s="139">
        <f>SUM($F127:N127)</f>
        <v>12937.5</v>
      </c>
      <c r="AB127" s="139">
        <f>SUM($F127:O127)</f>
        <v>14375</v>
      </c>
      <c r="AC127" s="139">
        <f>SUM($F127:P127)</f>
        <v>15812.5</v>
      </c>
      <c r="AD127" s="139">
        <f>SUM($F127:Q127)</f>
        <v>17250</v>
      </c>
    </row>
    <row r="128" spans="1:30" x14ac:dyDescent="0.25">
      <c r="A128" s="106">
        <v>123</v>
      </c>
      <c r="C128" s="1" t="s">
        <v>84</v>
      </c>
      <c r="E128" s="101">
        <f t="shared" si="82"/>
        <v>12</v>
      </c>
      <c r="F128" s="79">
        <f t="shared" si="83"/>
        <v>816.67</v>
      </c>
      <c r="G128" s="79">
        <f t="shared" si="83"/>
        <v>816.67</v>
      </c>
      <c r="H128" s="79">
        <f t="shared" si="83"/>
        <v>816.67</v>
      </c>
      <c r="I128" s="79">
        <f t="shared" si="83"/>
        <v>816.67</v>
      </c>
      <c r="J128" s="79">
        <f t="shared" si="83"/>
        <v>816.67</v>
      </c>
      <c r="K128" s="79">
        <f t="shared" si="83"/>
        <v>816.67</v>
      </c>
      <c r="L128" s="79">
        <f t="shared" si="83"/>
        <v>816.67</v>
      </c>
      <c r="M128" s="79">
        <f t="shared" si="83"/>
        <v>816.67</v>
      </c>
      <c r="N128" s="79">
        <f t="shared" si="83"/>
        <v>816.67</v>
      </c>
      <c r="O128" s="79">
        <f t="shared" si="83"/>
        <v>816.67</v>
      </c>
      <c r="P128" s="79">
        <f t="shared" si="83"/>
        <v>816.67</v>
      </c>
      <c r="Q128" s="79">
        <f t="shared" si="83"/>
        <v>816.67</v>
      </c>
      <c r="R128" s="71">
        <v>9800</v>
      </c>
      <c r="S128" s="139">
        <f t="shared" si="84"/>
        <v>816.67</v>
      </c>
      <c r="T128" s="139">
        <f>SUM($F128:G128)</f>
        <v>1633.34</v>
      </c>
      <c r="U128" s="139">
        <f>SUM($F128:H128)</f>
        <v>2450.0099999999998</v>
      </c>
      <c r="V128" s="139">
        <f>SUM($F128:I128)</f>
        <v>3266.68</v>
      </c>
      <c r="W128" s="139">
        <f>SUM($F128:J128)</f>
        <v>4083.35</v>
      </c>
      <c r="X128" s="139">
        <f>SUM($F128:K128)</f>
        <v>4900.0199999999995</v>
      </c>
      <c r="Y128" s="139">
        <f>SUM($F128:L128)</f>
        <v>5716.69</v>
      </c>
      <c r="Z128" s="139">
        <f>SUM($F128:M128)</f>
        <v>6533.36</v>
      </c>
      <c r="AA128" s="139">
        <f>SUM($F128:N128)</f>
        <v>7350.03</v>
      </c>
      <c r="AB128" s="139">
        <f>SUM($F128:O128)</f>
        <v>8166.7</v>
      </c>
      <c r="AC128" s="139">
        <f>SUM($F128:P128)</f>
        <v>8983.369999999999</v>
      </c>
      <c r="AD128" s="139">
        <f>SUM($F128:Q128)</f>
        <v>9800.0399999999991</v>
      </c>
    </row>
    <row r="129" spans="1:30" x14ac:dyDescent="0.25">
      <c r="A129" s="106">
        <v>124</v>
      </c>
      <c r="C129" s="1" t="s">
        <v>85</v>
      </c>
      <c r="E129" s="100">
        <v>4</v>
      </c>
      <c r="F129" s="79">
        <f t="shared" si="83"/>
        <v>850</v>
      </c>
      <c r="G129" s="71">
        <v>0</v>
      </c>
      <c r="H129" s="71">
        <v>0</v>
      </c>
      <c r="I129" s="79">
        <f t="shared" si="83"/>
        <v>850</v>
      </c>
      <c r="J129" s="71">
        <v>0</v>
      </c>
      <c r="K129" s="71">
        <v>0</v>
      </c>
      <c r="L129" s="79">
        <f t="shared" si="83"/>
        <v>850</v>
      </c>
      <c r="M129" s="71">
        <v>0</v>
      </c>
      <c r="N129" s="71">
        <v>0</v>
      </c>
      <c r="O129" s="79">
        <f t="shared" si="83"/>
        <v>850</v>
      </c>
      <c r="P129" s="71">
        <v>0</v>
      </c>
      <c r="Q129" s="71">
        <v>0</v>
      </c>
      <c r="R129" s="71">
        <v>3400</v>
      </c>
      <c r="S129" s="139">
        <f t="shared" si="84"/>
        <v>850</v>
      </c>
      <c r="T129" s="139">
        <f>SUM($F129:G129)</f>
        <v>850</v>
      </c>
      <c r="U129" s="139">
        <f>SUM($F129:H129)</f>
        <v>850</v>
      </c>
      <c r="V129" s="139">
        <f>SUM($F129:I129)</f>
        <v>1700</v>
      </c>
      <c r="W129" s="139">
        <f>SUM($F129:J129)</f>
        <v>1700</v>
      </c>
      <c r="X129" s="139">
        <f>SUM($F129:K129)</f>
        <v>1700</v>
      </c>
      <c r="Y129" s="139">
        <f>SUM($F129:L129)</f>
        <v>2550</v>
      </c>
      <c r="Z129" s="139">
        <f>SUM($F129:M129)</f>
        <v>2550</v>
      </c>
      <c r="AA129" s="139">
        <f>SUM($F129:N129)</f>
        <v>2550</v>
      </c>
      <c r="AB129" s="139">
        <f>SUM($F129:O129)</f>
        <v>3400</v>
      </c>
      <c r="AC129" s="139">
        <f>SUM($F129:P129)</f>
        <v>3400</v>
      </c>
      <c r="AD129" s="139">
        <f>SUM($F129:Q129)</f>
        <v>3400</v>
      </c>
    </row>
    <row r="130" spans="1:30" x14ac:dyDescent="0.25">
      <c r="A130" s="106">
        <v>125</v>
      </c>
      <c r="C130" s="1" t="s">
        <v>86</v>
      </c>
      <c r="E130" s="101">
        <f t="shared" ref="E130" si="85">+E$16</f>
        <v>12</v>
      </c>
      <c r="F130" s="79">
        <f t="shared" si="83"/>
        <v>50</v>
      </c>
      <c r="G130" s="79">
        <f t="shared" si="83"/>
        <v>50</v>
      </c>
      <c r="H130" s="79">
        <f t="shared" si="83"/>
        <v>50</v>
      </c>
      <c r="I130" s="79">
        <f t="shared" si="83"/>
        <v>50</v>
      </c>
      <c r="J130" s="79">
        <f t="shared" si="83"/>
        <v>50</v>
      </c>
      <c r="K130" s="79">
        <f t="shared" si="83"/>
        <v>50</v>
      </c>
      <c r="L130" s="79">
        <f t="shared" si="83"/>
        <v>50</v>
      </c>
      <c r="M130" s="79">
        <f t="shared" si="83"/>
        <v>50</v>
      </c>
      <c r="N130" s="79">
        <f t="shared" si="83"/>
        <v>50</v>
      </c>
      <c r="O130" s="79">
        <f t="shared" si="83"/>
        <v>50</v>
      </c>
      <c r="P130" s="79">
        <f t="shared" si="83"/>
        <v>50</v>
      </c>
      <c r="Q130" s="79">
        <f t="shared" si="83"/>
        <v>50</v>
      </c>
      <c r="R130" s="71">
        <v>600</v>
      </c>
      <c r="S130" s="139">
        <f t="shared" si="84"/>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3"/>
        <v>-2500</v>
      </c>
      <c r="G131" s="71">
        <v>0</v>
      </c>
      <c r="H131" s="71">
        <v>0</v>
      </c>
      <c r="I131" s="71">
        <v>0</v>
      </c>
      <c r="J131" s="71">
        <v>0</v>
      </c>
      <c r="K131" s="71">
        <v>0</v>
      </c>
      <c r="L131" s="79">
        <f t="shared" si="83"/>
        <v>-2500</v>
      </c>
      <c r="M131" s="71">
        <v>0</v>
      </c>
      <c r="N131" s="71">
        <v>0</v>
      </c>
      <c r="O131" s="71">
        <v>0</v>
      </c>
      <c r="P131" s="71">
        <v>0</v>
      </c>
      <c r="Q131" s="71">
        <v>0</v>
      </c>
      <c r="R131" s="71">
        <v>-5000</v>
      </c>
      <c r="S131" s="139">
        <f t="shared" si="84"/>
        <v>-2500</v>
      </c>
      <c r="T131" s="139">
        <f>SUM($F131:G131)</f>
        <v>-2500</v>
      </c>
      <c r="U131" s="139">
        <f>SUM($F131:H131)</f>
        <v>-2500</v>
      </c>
      <c r="V131" s="139">
        <f>SUM($F131:I131)</f>
        <v>-2500</v>
      </c>
      <c r="W131" s="139">
        <f>SUM($F131:J131)</f>
        <v>-2500</v>
      </c>
      <c r="X131" s="139">
        <f>SUM($F131:K131)</f>
        <v>-2500</v>
      </c>
      <c r="Y131" s="139">
        <f>SUM($F131:L131)</f>
        <v>-5000</v>
      </c>
      <c r="Z131" s="139">
        <f>SUM($F131:M131)</f>
        <v>-5000</v>
      </c>
      <c r="AA131" s="139">
        <f>SUM($F131:N131)</f>
        <v>-5000</v>
      </c>
      <c r="AB131" s="139">
        <f>SUM($F131:O131)</f>
        <v>-5000</v>
      </c>
      <c r="AC131" s="139">
        <f>SUM($F131:P131)</f>
        <v>-5000</v>
      </c>
      <c r="AD131" s="139">
        <f>SUM($F131:Q131)</f>
        <v>-5000</v>
      </c>
    </row>
    <row r="132" spans="1:30" s="5" customFormat="1" x14ac:dyDescent="0.25">
      <c r="A132" s="106">
        <v>127</v>
      </c>
      <c r="B132" s="33" t="s">
        <v>79</v>
      </c>
      <c r="C132" s="33"/>
      <c r="D132" s="33"/>
      <c r="E132" s="96"/>
      <c r="F132" s="80">
        <f t="shared" ref="F132:Q132" si="86">SUM(F122:F131)</f>
        <v>4478.59</v>
      </c>
      <c r="G132" s="80">
        <f t="shared" si="86"/>
        <v>6128.59</v>
      </c>
      <c r="H132" s="80">
        <f t="shared" si="86"/>
        <v>6128.59</v>
      </c>
      <c r="I132" s="80">
        <f t="shared" si="86"/>
        <v>6978.59</v>
      </c>
      <c r="J132" s="80">
        <f t="shared" si="86"/>
        <v>6128.59</v>
      </c>
      <c r="K132" s="80">
        <f t="shared" si="86"/>
        <v>6128.59</v>
      </c>
      <c r="L132" s="80">
        <f t="shared" si="86"/>
        <v>4478.59</v>
      </c>
      <c r="M132" s="80">
        <f t="shared" si="86"/>
        <v>6128.59</v>
      </c>
      <c r="N132" s="80">
        <f t="shared" si="86"/>
        <v>6128.59</v>
      </c>
      <c r="O132" s="80">
        <f t="shared" si="86"/>
        <v>6978.59</v>
      </c>
      <c r="P132" s="80">
        <f t="shared" si="86"/>
        <v>6128.59</v>
      </c>
      <c r="Q132" s="80">
        <f t="shared" si="86"/>
        <v>6128.59</v>
      </c>
      <c r="R132" s="80">
        <f>SUM(R122:R131)</f>
        <v>71943</v>
      </c>
      <c r="S132" s="149">
        <f t="shared" ref="S132:AD132" si="87">SUM(S122:S131)</f>
        <v>4478.59</v>
      </c>
      <c r="T132" s="149">
        <f t="shared" si="87"/>
        <v>10607.18</v>
      </c>
      <c r="U132" s="149">
        <f t="shared" si="87"/>
        <v>16735.77</v>
      </c>
      <c r="V132" s="149">
        <f t="shared" si="87"/>
        <v>23714.36</v>
      </c>
      <c r="W132" s="149">
        <f t="shared" si="87"/>
        <v>29842.949999999997</v>
      </c>
      <c r="X132" s="149">
        <f t="shared" si="87"/>
        <v>35971.54</v>
      </c>
      <c r="Y132" s="149">
        <f t="shared" si="87"/>
        <v>40450.130000000005</v>
      </c>
      <c r="Z132" s="149">
        <f t="shared" si="87"/>
        <v>46578.720000000001</v>
      </c>
      <c r="AA132" s="149">
        <f t="shared" si="87"/>
        <v>52707.31</v>
      </c>
      <c r="AB132" s="149">
        <f t="shared" si="87"/>
        <v>59685.899999999994</v>
      </c>
      <c r="AC132" s="149">
        <f t="shared" si="87"/>
        <v>65814.489999999991</v>
      </c>
      <c r="AD132" s="149">
        <f t="shared" si="87"/>
        <v>71943.079999999987</v>
      </c>
    </row>
    <row r="133" spans="1:30" x14ac:dyDescent="0.25">
      <c r="A133" s="106">
        <v>128</v>
      </c>
      <c r="B133" s="33" t="s">
        <v>88</v>
      </c>
      <c r="C133" s="33"/>
      <c r="D133" s="44" t="str">
        <f>0*100%&amp;"% Cost of Living"</f>
        <v>0% Cost of Living</v>
      </c>
      <c r="E133" s="96"/>
      <c r="F133" s="80">
        <f t="shared" ref="F133:Q133" si="88">+F91+F96+F101+F110+F119+F132</f>
        <v>25690.55</v>
      </c>
      <c r="G133" s="80">
        <f t="shared" si="88"/>
        <v>27340.55</v>
      </c>
      <c r="H133" s="80">
        <f t="shared" si="88"/>
        <v>27340.55</v>
      </c>
      <c r="I133" s="80">
        <f t="shared" si="88"/>
        <v>28190.55</v>
      </c>
      <c r="J133" s="80">
        <f t="shared" si="88"/>
        <v>27246.799999999999</v>
      </c>
      <c r="K133" s="80">
        <f t="shared" si="88"/>
        <v>27246.799999999999</v>
      </c>
      <c r="L133" s="80">
        <f t="shared" si="88"/>
        <v>24925.499999999996</v>
      </c>
      <c r="M133" s="80">
        <f t="shared" si="88"/>
        <v>26575.499999999996</v>
      </c>
      <c r="N133" s="80">
        <f t="shared" si="88"/>
        <v>27340.55</v>
      </c>
      <c r="O133" s="80">
        <f t="shared" si="88"/>
        <v>28190.55</v>
      </c>
      <c r="P133" s="80">
        <f t="shared" si="88"/>
        <v>27340.55</v>
      </c>
      <c r="Q133" s="80">
        <f t="shared" si="88"/>
        <v>27340.55</v>
      </c>
      <c r="R133" s="80">
        <f>+R91+R96+R101+R110+R119+R132</f>
        <v>324769</v>
      </c>
      <c r="S133" s="149">
        <f t="shared" ref="S133:AD133" si="89">+S91+S96+S101+S110+S119+S132</f>
        <v>25690.55</v>
      </c>
      <c r="T133" s="149">
        <f t="shared" si="89"/>
        <v>53031.1</v>
      </c>
      <c r="U133" s="149">
        <f t="shared" si="89"/>
        <v>80371.649999999994</v>
      </c>
      <c r="V133" s="149">
        <f t="shared" si="89"/>
        <v>108562.2</v>
      </c>
      <c r="W133" s="149">
        <f t="shared" si="89"/>
        <v>135809</v>
      </c>
      <c r="X133" s="149">
        <f t="shared" si="89"/>
        <v>163055.79999999999</v>
      </c>
      <c r="Y133" s="149">
        <f t="shared" si="89"/>
        <v>187981.3</v>
      </c>
      <c r="Z133" s="149">
        <f t="shared" si="89"/>
        <v>214556.79999999999</v>
      </c>
      <c r="AA133" s="149">
        <f t="shared" si="89"/>
        <v>241897.35</v>
      </c>
      <c r="AB133" s="149">
        <f t="shared" si="89"/>
        <v>270087.90000000002</v>
      </c>
      <c r="AC133" s="149">
        <f t="shared" si="89"/>
        <v>297428.45</v>
      </c>
      <c r="AD133" s="149">
        <f t="shared" si="89"/>
        <v>324769</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90">+E$16</f>
        <v>12</v>
      </c>
      <c r="F137" s="79">
        <f>ROUND(+$R137/$E137,2)</f>
        <v>1500</v>
      </c>
      <c r="G137" s="79">
        <f t="shared" ref="G137:Q142" si="91">ROUND(+$R137/$E137,2)</f>
        <v>1500</v>
      </c>
      <c r="H137" s="79">
        <f t="shared" si="91"/>
        <v>1500</v>
      </c>
      <c r="I137" s="79">
        <f t="shared" si="91"/>
        <v>1500</v>
      </c>
      <c r="J137" s="79">
        <f t="shared" si="91"/>
        <v>1500</v>
      </c>
      <c r="K137" s="79">
        <f t="shared" si="91"/>
        <v>1500</v>
      </c>
      <c r="L137" s="79">
        <f t="shared" si="91"/>
        <v>1500</v>
      </c>
      <c r="M137" s="79">
        <f t="shared" si="91"/>
        <v>1500</v>
      </c>
      <c r="N137" s="79">
        <f t="shared" si="91"/>
        <v>1500</v>
      </c>
      <c r="O137" s="79">
        <f t="shared" si="91"/>
        <v>1500</v>
      </c>
      <c r="P137" s="79">
        <f t="shared" si="91"/>
        <v>1500</v>
      </c>
      <c r="Q137" s="79">
        <f t="shared" si="91"/>
        <v>1500</v>
      </c>
      <c r="R137" s="71">
        <v>18000</v>
      </c>
      <c r="S137" s="139">
        <f t="shared" ref="S137:S143" si="92">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90"/>
        <v>12</v>
      </c>
      <c r="F138" s="79">
        <f>ROUND(+$R138/$E138,2)</f>
        <v>1000</v>
      </c>
      <c r="G138" s="79">
        <f t="shared" si="91"/>
        <v>1000</v>
      </c>
      <c r="H138" s="79">
        <f t="shared" si="91"/>
        <v>1000</v>
      </c>
      <c r="I138" s="79">
        <f t="shared" si="91"/>
        <v>1000</v>
      </c>
      <c r="J138" s="79">
        <f t="shared" si="91"/>
        <v>1000</v>
      </c>
      <c r="K138" s="79">
        <f t="shared" si="91"/>
        <v>1000</v>
      </c>
      <c r="L138" s="79">
        <f t="shared" si="91"/>
        <v>1000</v>
      </c>
      <c r="M138" s="79">
        <f t="shared" si="91"/>
        <v>1000</v>
      </c>
      <c r="N138" s="79">
        <f t="shared" si="91"/>
        <v>1000</v>
      </c>
      <c r="O138" s="79">
        <f t="shared" si="91"/>
        <v>1000</v>
      </c>
      <c r="P138" s="79">
        <f t="shared" si="91"/>
        <v>1000</v>
      </c>
      <c r="Q138" s="79">
        <f t="shared" si="91"/>
        <v>1000</v>
      </c>
      <c r="R138" s="71">
        <v>12000</v>
      </c>
      <c r="S138" s="139">
        <f t="shared" si="92"/>
        <v>1000</v>
      </c>
      <c r="T138" s="139">
        <f>SUM($F138:G138)</f>
        <v>2000</v>
      </c>
      <c r="U138" s="139">
        <f>SUM($F138:H138)</f>
        <v>3000</v>
      </c>
      <c r="V138" s="139">
        <f>SUM($F138:I138)</f>
        <v>4000</v>
      </c>
      <c r="W138" s="139">
        <f>SUM($F138:J138)</f>
        <v>5000</v>
      </c>
      <c r="X138" s="139">
        <f>SUM($F138:K138)</f>
        <v>6000</v>
      </c>
      <c r="Y138" s="139">
        <f>SUM($F138:L138)</f>
        <v>7000</v>
      </c>
      <c r="Z138" s="139">
        <f>SUM($F138:M138)</f>
        <v>8000</v>
      </c>
      <c r="AA138" s="139">
        <f>SUM($F138:N138)</f>
        <v>9000</v>
      </c>
      <c r="AB138" s="139">
        <f>SUM($F138:O138)</f>
        <v>10000</v>
      </c>
      <c r="AC138" s="139">
        <f>SUM($F138:P138)</f>
        <v>11000</v>
      </c>
      <c r="AD138" s="139">
        <f>SUM($F138:Q138)</f>
        <v>12000</v>
      </c>
    </row>
    <row r="139" spans="1:30" x14ac:dyDescent="0.25">
      <c r="A139" s="106">
        <v>134</v>
      </c>
      <c r="C139" s="1" t="s">
        <v>94</v>
      </c>
      <c r="E139" s="101">
        <f t="shared" si="90"/>
        <v>12</v>
      </c>
      <c r="F139" s="79">
        <f>ROUND(+$R139/$E139,2)</f>
        <v>283.33</v>
      </c>
      <c r="G139" s="79">
        <f t="shared" si="91"/>
        <v>283.33</v>
      </c>
      <c r="H139" s="79">
        <f t="shared" si="91"/>
        <v>283.33</v>
      </c>
      <c r="I139" s="79">
        <f t="shared" si="91"/>
        <v>283.33</v>
      </c>
      <c r="J139" s="79">
        <f t="shared" si="91"/>
        <v>283.33</v>
      </c>
      <c r="K139" s="79">
        <f t="shared" si="91"/>
        <v>283.33</v>
      </c>
      <c r="L139" s="79">
        <f t="shared" si="91"/>
        <v>283.33</v>
      </c>
      <c r="M139" s="79">
        <f t="shared" si="91"/>
        <v>283.33</v>
      </c>
      <c r="N139" s="79">
        <f t="shared" si="91"/>
        <v>283.33</v>
      </c>
      <c r="O139" s="79">
        <f t="shared" si="91"/>
        <v>283.33</v>
      </c>
      <c r="P139" s="79">
        <f t="shared" si="91"/>
        <v>283.33</v>
      </c>
      <c r="Q139" s="79">
        <f t="shared" si="91"/>
        <v>283.33</v>
      </c>
      <c r="R139" s="71">
        <v>3400</v>
      </c>
      <c r="S139" s="139">
        <f t="shared" si="92"/>
        <v>283.33</v>
      </c>
      <c r="T139" s="139">
        <f>SUM($F139:G139)</f>
        <v>566.66</v>
      </c>
      <c r="U139" s="139">
        <f>SUM($F139:H139)</f>
        <v>849.99</v>
      </c>
      <c r="V139" s="139">
        <f>SUM($F139:I139)</f>
        <v>1133.32</v>
      </c>
      <c r="W139" s="139">
        <f>SUM($F139:J139)</f>
        <v>1416.6499999999999</v>
      </c>
      <c r="X139" s="139">
        <f>SUM($F139:K139)</f>
        <v>1699.9799999999998</v>
      </c>
      <c r="Y139" s="139">
        <f>SUM($F139:L139)</f>
        <v>1983.3099999999997</v>
      </c>
      <c r="Z139" s="139">
        <f>SUM($F139:M139)</f>
        <v>2266.64</v>
      </c>
      <c r="AA139" s="139">
        <f>SUM($F139:N139)</f>
        <v>2549.9699999999998</v>
      </c>
      <c r="AB139" s="139">
        <f>SUM($F139:O139)</f>
        <v>2833.2999999999997</v>
      </c>
      <c r="AC139" s="139">
        <f>SUM($F139:P139)</f>
        <v>3116.6299999999997</v>
      </c>
      <c r="AD139" s="139">
        <f>SUM($F139:Q139)</f>
        <v>3399.9599999999996</v>
      </c>
    </row>
    <row r="140" spans="1:30" x14ac:dyDescent="0.25">
      <c r="A140" s="106">
        <v>135</v>
      </c>
      <c r="C140" s="1" t="s">
        <v>95</v>
      </c>
      <c r="E140" s="100">
        <v>4</v>
      </c>
      <c r="F140" s="79">
        <f t="shared" ref="F140:O140" si="93">ROUND(+$R140/$E140,2)</f>
        <v>212.5</v>
      </c>
      <c r="G140" s="71">
        <v>0</v>
      </c>
      <c r="H140" s="71">
        <v>0</v>
      </c>
      <c r="I140" s="79">
        <f t="shared" si="93"/>
        <v>212.5</v>
      </c>
      <c r="J140" s="71">
        <v>0</v>
      </c>
      <c r="K140" s="71">
        <v>0</v>
      </c>
      <c r="L140" s="79">
        <f t="shared" si="93"/>
        <v>212.5</v>
      </c>
      <c r="M140" s="71">
        <v>0</v>
      </c>
      <c r="N140" s="71">
        <v>0</v>
      </c>
      <c r="O140" s="79">
        <f t="shared" si="93"/>
        <v>212.5</v>
      </c>
      <c r="P140" s="71">
        <v>0</v>
      </c>
      <c r="Q140" s="71">
        <v>0</v>
      </c>
      <c r="R140" s="71">
        <v>850</v>
      </c>
      <c r="S140" s="139">
        <f t="shared" si="92"/>
        <v>212.5</v>
      </c>
      <c r="T140" s="139">
        <f>SUM($F140:G140)</f>
        <v>212.5</v>
      </c>
      <c r="U140" s="139">
        <f>SUM($F140:H140)</f>
        <v>212.5</v>
      </c>
      <c r="V140" s="139">
        <f>SUM($F140:I140)</f>
        <v>425</v>
      </c>
      <c r="W140" s="139">
        <f>SUM($F140:J140)</f>
        <v>425</v>
      </c>
      <c r="X140" s="139">
        <f>SUM($F140:K140)</f>
        <v>425</v>
      </c>
      <c r="Y140" s="139">
        <f>SUM($F140:L140)</f>
        <v>637.5</v>
      </c>
      <c r="Z140" s="139">
        <f>SUM($F140:M140)</f>
        <v>637.5</v>
      </c>
      <c r="AA140" s="139">
        <f>SUM($F140:N140)</f>
        <v>637.5</v>
      </c>
      <c r="AB140" s="139">
        <f>SUM($F140:O140)</f>
        <v>850</v>
      </c>
      <c r="AC140" s="139">
        <f>SUM($F140:P140)</f>
        <v>850</v>
      </c>
      <c r="AD140" s="139">
        <f>SUM($F140:Q140)</f>
        <v>850</v>
      </c>
    </row>
    <row r="141" spans="1:30" x14ac:dyDescent="0.25">
      <c r="A141" s="106">
        <v>136</v>
      </c>
      <c r="C141" s="1" t="s">
        <v>96</v>
      </c>
      <c r="E141" s="101">
        <f t="shared" si="90"/>
        <v>12</v>
      </c>
      <c r="F141" s="79">
        <f>ROUND(+$R141/$E141,2)</f>
        <v>275</v>
      </c>
      <c r="G141" s="79">
        <f t="shared" si="91"/>
        <v>275</v>
      </c>
      <c r="H141" s="79">
        <f t="shared" si="91"/>
        <v>275</v>
      </c>
      <c r="I141" s="79">
        <f t="shared" si="91"/>
        <v>275</v>
      </c>
      <c r="J141" s="79">
        <f t="shared" si="91"/>
        <v>275</v>
      </c>
      <c r="K141" s="79">
        <f t="shared" si="91"/>
        <v>275</v>
      </c>
      <c r="L141" s="79">
        <f t="shared" si="91"/>
        <v>275</v>
      </c>
      <c r="M141" s="79">
        <f t="shared" si="91"/>
        <v>275</v>
      </c>
      <c r="N141" s="79">
        <f t="shared" si="91"/>
        <v>275</v>
      </c>
      <c r="O141" s="79">
        <f t="shared" si="91"/>
        <v>275</v>
      </c>
      <c r="P141" s="79">
        <f t="shared" si="91"/>
        <v>275</v>
      </c>
      <c r="Q141" s="79">
        <f t="shared" si="91"/>
        <v>275</v>
      </c>
      <c r="R141" s="71">
        <v>3300</v>
      </c>
      <c r="S141" s="139">
        <f t="shared" si="92"/>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90"/>
        <v>12</v>
      </c>
      <c r="F142" s="79">
        <f>ROUND(+$R142/$E142,2)</f>
        <v>208.33</v>
      </c>
      <c r="G142" s="79">
        <f t="shared" si="91"/>
        <v>208.33</v>
      </c>
      <c r="H142" s="79">
        <f t="shared" si="91"/>
        <v>208.33</v>
      </c>
      <c r="I142" s="79">
        <f t="shared" si="91"/>
        <v>208.33</v>
      </c>
      <c r="J142" s="79">
        <f t="shared" si="91"/>
        <v>208.33</v>
      </c>
      <c r="K142" s="79">
        <f t="shared" si="91"/>
        <v>208.33</v>
      </c>
      <c r="L142" s="79">
        <f t="shared" si="91"/>
        <v>208.33</v>
      </c>
      <c r="M142" s="79">
        <f t="shared" si="91"/>
        <v>208.33</v>
      </c>
      <c r="N142" s="79">
        <f t="shared" si="91"/>
        <v>208.33</v>
      </c>
      <c r="O142" s="79">
        <f t="shared" si="91"/>
        <v>208.33</v>
      </c>
      <c r="P142" s="79">
        <f t="shared" si="91"/>
        <v>208.33</v>
      </c>
      <c r="Q142" s="79">
        <f t="shared" si="91"/>
        <v>208.33</v>
      </c>
      <c r="R142" s="71">
        <v>2500</v>
      </c>
      <c r="S142" s="139">
        <f t="shared" si="92"/>
        <v>208.33</v>
      </c>
      <c r="T142" s="139">
        <f>SUM($F142:G142)</f>
        <v>416.66</v>
      </c>
      <c r="U142" s="139">
        <f>SUM($F142:H142)</f>
        <v>624.99</v>
      </c>
      <c r="V142" s="139">
        <f>SUM($F142:I142)</f>
        <v>833.32</v>
      </c>
      <c r="W142" s="139">
        <f>SUM($F142:J142)</f>
        <v>1041.6500000000001</v>
      </c>
      <c r="X142" s="139">
        <f>SUM($F142:K142)</f>
        <v>1249.98</v>
      </c>
      <c r="Y142" s="139">
        <f>SUM($F142:L142)</f>
        <v>1458.31</v>
      </c>
      <c r="Z142" s="139">
        <f>SUM($F142:M142)</f>
        <v>1666.6399999999999</v>
      </c>
      <c r="AA142" s="139">
        <f>SUM($F142:N142)</f>
        <v>1874.9699999999998</v>
      </c>
      <c r="AB142" s="139">
        <f>SUM($F142:O142)</f>
        <v>2083.2999999999997</v>
      </c>
      <c r="AC142" s="139">
        <f>SUM($F142:P142)</f>
        <v>2291.6299999999997</v>
      </c>
      <c r="AD142" s="139">
        <f>SUM($F142:Q142)</f>
        <v>2499.9599999999996</v>
      </c>
    </row>
    <row r="143" spans="1:30" x14ac:dyDescent="0.25">
      <c r="A143" s="106">
        <v>138</v>
      </c>
      <c r="C143" s="1" t="s">
        <v>98</v>
      </c>
      <c r="E143" s="100">
        <v>1</v>
      </c>
      <c r="F143" s="79">
        <f>ROUND(+$R143/$E143,2)</f>
        <v>3100</v>
      </c>
      <c r="G143" s="71">
        <v>0</v>
      </c>
      <c r="H143" s="71">
        <v>0</v>
      </c>
      <c r="I143" s="71">
        <v>0</v>
      </c>
      <c r="J143" s="71">
        <v>0</v>
      </c>
      <c r="K143" s="71">
        <v>0</v>
      </c>
      <c r="L143" s="71">
        <v>0</v>
      </c>
      <c r="M143" s="71">
        <v>0</v>
      </c>
      <c r="N143" s="71">
        <v>0</v>
      </c>
      <c r="O143" s="71">
        <v>0</v>
      </c>
      <c r="P143" s="71">
        <v>0</v>
      </c>
      <c r="Q143" s="71">
        <v>0</v>
      </c>
      <c r="R143" s="71">
        <v>3100</v>
      </c>
      <c r="S143" s="139">
        <f t="shared" si="92"/>
        <v>3100</v>
      </c>
      <c r="T143" s="139">
        <f>SUM($F143:G143)</f>
        <v>3100</v>
      </c>
      <c r="U143" s="139">
        <f>SUM($F143:H143)</f>
        <v>3100</v>
      </c>
      <c r="V143" s="139">
        <f>SUM($F143:I143)</f>
        <v>3100</v>
      </c>
      <c r="W143" s="139">
        <f>SUM($F143:J143)</f>
        <v>3100</v>
      </c>
      <c r="X143" s="139">
        <f>SUM($F143:K143)</f>
        <v>3100</v>
      </c>
      <c r="Y143" s="139">
        <f>SUM($F143:L143)</f>
        <v>3100</v>
      </c>
      <c r="Z143" s="139">
        <f>SUM($F143:M143)</f>
        <v>3100</v>
      </c>
      <c r="AA143" s="139">
        <f>SUM($F143:N143)</f>
        <v>3100</v>
      </c>
      <c r="AB143" s="139">
        <f>SUM($F143:O143)</f>
        <v>3100</v>
      </c>
      <c r="AC143" s="139">
        <f>SUM($F143:P143)</f>
        <v>3100</v>
      </c>
      <c r="AD143" s="139">
        <f>SUM($F143:Q143)</f>
        <v>3100</v>
      </c>
    </row>
    <row r="144" spans="1:30" s="5" customFormat="1" x14ac:dyDescent="0.25">
      <c r="A144" s="106">
        <v>139</v>
      </c>
      <c r="B144" s="36" t="s">
        <v>99</v>
      </c>
      <c r="C144" s="36"/>
      <c r="D144" s="36"/>
      <c r="E144" s="97"/>
      <c r="F144" s="81">
        <f t="shared" ref="F144:Q144" si="94">SUM(F137:F143)</f>
        <v>6579.16</v>
      </c>
      <c r="G144" s="81">
        <f t="shared" si="94"/>
        <v>3266.66</v>
      </c>
      <c r="H144" s="81">
        <f t="shared" si="94"/>
        <v>3266.66</v>
      </c>
      <c r="I144" s="81">
        <f t="shared" si="94"/>
        <v>3479.16</v>
      </c>
      <c r="J144" s="81">
        <f t="shared" si="94"/>
        <v>3266.66</v>
      </c>
      <c r="K144" s="81">
        <f t="shared" si="94"/>
        <v>3266.66</v>
      </c>
      <c r="L144" s="81">
        <f t="shared" si="94"/>
        <v>3479.16</v>
      </c>
      <c r="M144" s="81">
        <f t="shared" si="94"/>
        <v>3266.66</v>
      </c>
      <c r="N144" s="81">
        <f t="shared" si="94"/>
        <v>3266.66</v>
      </c>
      <c r="O144" s="81">
        <f t="shared" si="94"/>
        <v>3479.16</v>
      </c>
      <c r="P144" s="81">
        <f t="shared" si="94"/>
        <v>3266.66</v>
      </c>
      <c r="Q144" s="81">
        <f t="shared" si="94"/>
        <v>3266.66</v>
      </c>
      <c r="R144" s="81">
        <f>SUM(R137:R143)</f>
        <v>43150</v>
      </c>
      <c r="S144" s="150">
        <f t="shared" ref="S144:AD144" si="95">SUM(S137:S143)</f>
        <v>6579.16</v>
      </c>
      <c r="T144" s="150">
        <f t="shared" si="95"/>
        <v>9845.82</v>
      </c>
      <c r="U144" s="150">
        <f t="shared" si="95"/>
        <v>13112.48</v>
      </c>
      <c r="V144" s="150">
        <f t="shared" si="95"/>
        <v>16591.64</v>
      </c>
      <c r="W144" s="150">
        <f t="shared" si="95"/>
        <v>19858.3</v>
      </c>
      <c r="X144" s="150">
        <f t="shared" si="95"/>
        <v>23124.959999999999</v>
      </c>
      <c r="Y144" s="150">
        <f t="shared" si="95"/>
        <v>26604.120000000003</v>
      </c>
      <c r="Z144" s="150">
        <f t="shared" si="95"/>
        <v>29870.78</v>
      </c>
      <c r="AA144" s="150">
        <f t="shared" si="95"/>
        <v>33137.440000000002</v>
      </c>
      <c r="AB144" s="150">
        <f t="shared" si="95"/>
        <v>36616.6</v>
      </c>
      <c r="AC144" s="150">
        <f t="shared" si="95"/>
        <v>39883.26</v>
      </c>
      <c r="AD144" s="150">
        <f t="shared" si="95"/>
        <v>43149.919999999998</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6">ROUND(+$R147/$E147,2)</f>
        <v>3000</v>
      </c>
      <c r="G147" s="71">
        <v>0</v>
      </c>
      <c r="H147" s="71">
        <v>0</v>
      </c>
      <c r="I147" s="79">
        <f t="shared" si="96"/>
        <v>3000</v>
      </c>
      <c r="J147" s="71">
        <v>0</v>
      </c>
      <c r="K147" s="71">
        <v>0</v>
      </c>
      <c r="L147" s="79">
        <f t="shared" si="96"/>
        <v>3000</v>
      </c>
      <c r="M147" s="71">
        <v>0</v>
      </c>
      <c r="N147" s="71">
        <v>0</v>
      </c>
      <c r="O147" s="79">
        <f t="shared" si="96"/>
        <v>3000</v>
      </c>
      <c r="P147" s="71">
        <v>0</v>
      </c>
      <c r="Q147" s="71">
        <v>0</v>
      </c>
      <c r="R147" s="71">
        <v>12000</v>
      </c>
      <c r="S147" s="139">
        <f t="shared" ref="S147:S154" si="97">SUM(F147)</f>
        <v>3000</v>
      </c>
      <c r="T147" s="139">
        <f>SUM($F147:G147)</f>
        <v>3000</v>
      </c>
      <c r="U147" s="139">
        <f>SUM($F147:H147)</f>
        <v>3000</v>
      </c>
      <c r="V147" s="139">
        <f>SUM($F147:I147)</f>
        <v>6000</v>
      </c>
      <c r="W147" s="139">
        <f>SUM($F147:J147)</f>
        <v>6000</v>
      </c>
      <c r="X147" s="139">
        <f>SUM($F147:K147)</f>
        <v>6000</v>
      </c>
      <c r="Y147" s="139">
        <f>SUM($F147:L147)</f>
        <v>9000</v>
      </c>
      <c r="Z147" s="139">
        <f>SUM($F147:M147)</f>
        <v>9000</v>
      </c>
      <c r="AA147" s="139">
        <f>SUM($F147:N147)</f>
        <v>9000</v>
      </c>
      <c r="AB147" s="139">
        <f>SUM($F147:O147)</f>
        <v>12000</v>
      </c>
      <c r="AC147" s="139">
        <f>SUM($F147:P147)</f>
        <v>12000</v>
      </c>
      <c r="AD147" s="139">
        <f>SUM($F147:Q147)</f>
        <v>12000</v>
      </c>
    </row>
    <row r="148" spans="1:30" x14ac:dyDescent="0.25">
      <c r="A148" s="106">
        <v>143</v>
      </c>
      <c r="C148" s="1" t="s">
        <v>102</v>
      </c>
      <c r="E148" s="100">
        <v>5</v>
      </c>
      <c r="F148" s="79">
        <f t="shared" si="96"/>
        <v>1000</v>
      </c>
      <c r="G148" s="79">
        <f t="shared" si="96"/>
        <v>1000</v>
      </c>
      <c r="H148" s="79">
        <f t="shared" si="96"/>
        <v>1000</v>
      </c>
      <c r="I148" s="71">
        <v>0</v>
      </c>
      <c r="J148" s="71">
        <v>0</v>
      </c>
      <c r="K148" s="71">
        <v>0</v>
      </c>
      <c r="L148" s="71">
        <v>0</v>
      </c>
      <c r="M148" s="71">
        <v>0</v>
      </c>
      <c r="N148" s="71">
        <v>0</v>
      </c>
      <c r="O148" s="71">
        <v>0</v>
      </c>
      <c r="P148" s="79">
        <f t="shared" si="96"/>
        <v>1000</v>
      </c>
      <c r="Q148" s="79">
        <f t="shared" si="96"/>
        <v>1000</v>
      </c>
      <c r="R148" s="71">
        <v>5000</v>
      </c>
      <c r="S148" s="139">
        <f t="shared" si="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8">+E$16</f>
        <v>12</v>
      </c>
      <c r="F149" s="79">
        <f t="shared" si="96"/>
        <v>208.33</v>
      </c>
      <c r="G149" s="79">
        <f t="shared" si="96"/>
        <v>208.33</v>
      </c>
      <c r="H149" s="79">
        <f t="shared" si="96"/>
        <v>208.33</v>
      </c>
      <c r="I149" s="79">
        <f t="shared" si="96"/>
        <v>208.33</v>
      </c>
      <c r="J149" s="79">
        <f t="shared" si="96"/>
        <v>208.33</v>
      </c>
      <c r="K149" s="79">
        <f t="shared" si="96"/>
        <v>208.33</v>
      </c>
      <c r="L149" s="79">
        <f t="shared" si="96"/>
        <v>208.33</v>
      </c>
      <c r="M149" s="79">
        <f t="shared" si="96"/>
        <v>208.33</v>
      </c>
      <c r="N149" s="79">
        <f t="shared" si="96"/>
        <v>208.33</v>
      </c>
      <c r="O149" s="79">
        <f t="shared" si="96"/>
        <v>208.33</v>
      </c>
      <c r="P149" s="79">
        <f t="shared" si="96"/>
        <v>208.33</v>
      </c>
      <c r="Q149" s="79">
        <f t="shared" si="96"/>
        <v>208.33</v>
      </c>
      <c r="R149" s="71">
        <v>2500</v>
      </c>
      <c r="S149" s="139">
        <f t="shared" si="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3" t="s">
        <v>129</v>
      </c>
      <c r="D150" s="223"/>
      <c r="E150" s="101">
        <f t="shared" si="98"/>
        <v>12</v>
      </c>
      <c r="F150" s="79">
        <f t="shared" si="96"/>
        <v>225</v>
      </c>
      <c r="G150" s="79">
        <f t="shared" si="96"/>
        <v>225</v>
      </c>
      <c r="H150" s="79">
        <f t="shared" si="96"/>
        <v>225</v>
      </c>
      <c r="I150" s="79">
        <f t="shared" si="96"/>
        <v>225</v>
      </c>
      <c r="J150" s="79">
        <f t="shared" si="96"/>
        <v>225</v>
      </c>
      <c r="K150" s="79">
        <f t="shared" si="96"/>
        <v>225</v>
      </c>
      <c r="L150" s="79">
        <f t="shared" si="96"/>
        <v>225</v>
      </c>
      <c r="M150" s="79">
        <f t="shared" si="96"/>
        <v>225</v>
      </c>
      <c r="N150" s="79">
        <f t="shared" si="96"/>
        <v>225</v>
      </c>
      <c r="O150" s="79">
        <f t="shared" si="96"/>
        <v>225</v>
      </c>
      <c r="P150" s="79">
        <f t="shared" si="96"/>
        <v>225</v>
      </c>
      <c r="Q150" s="79">
        <f t="shared" si="96"/>
        <v>225</v>
      </c>
      <c r="R150" s="71">
        <v>2700</v>
      </c>
      <c r="S150" s="139">
        <f t="shared" si="97"/>
        <v>225</v>
      </c>
      <c r="T150" s="139">
        <f>SUM($F150:G150)</f>
        <v>450</v>
      </c>
      <c r="U150" s="139">
        <f>SUM($F150:H150)</f>
        <v>675</v>
      </c>
      <c r="V150" s="139">
        <f>SUM($F150:I150)</f>
        <v>900</v>
      </c>
      <c r="W150" s="139">
        <f>SUM($F150:J150)</f>
        <v>1125</v>
      </c>
      <c r="X150" s="139">
        <f>SUM($F150:K150)</f>
        <v>1350</v>
      </c>
      <c r="Y150" s="139">
        <f>SUM($F150:L150)</f>
        <v>1575</v>
      </c>
      <c r="Z150" s="139">
        <f>SUM($F150:M150)</f>
        <v>1800</v>
      </c>
      <c r="AA150" s="139">
        <f>SUM($F150:N150)</f>
        <v>2025</v>
      </c>
      <c r="AB150" s="139">
        <f>SUM($F150:O150)</f>
        <v>2250</v>
      </c>
      <c r="AC150" s="139">
        <f>SUM($F150:P150)</f>
        <v>2475</v>
      </c>
      <c r="AD150" s="139">
        <f>SUM($F150:Q150)</f>
        <v>2700</v>
      </c>
    </row>
    <row r="151" spans="1:30" x14ac:dyDescent="0.25">
      <c r="A151" s="106">
        <v>146</v>
      </c>
      <c r="C151" s="1" t="s">
        <v>104</v>
      </c>
      <c r="E151" s="101">
        <f t="shared" si="98"/>
        <v>12</v>
      </c>
      <c r="F151" s="79">
        <f t="shared" si="96"/>
        <v>583.33000000000004</v>
      </c>
      <c r="G151" s="79">
        <f t="shared" si="96"/>
        <v>583.33000000000004</v>
      </c>
      <c r="H151" s="79">
        <f t="shared" si="96"/>
        <v>583.33000000000004</v>
      </c>
      <c r="I151" s="79">
        <f t="shared" si="96"/>
        <v>583.33000000000004</v>
      </c>
      <c r="J151" s="79">
        <f t="shared" si="96"/>
        <v>583.33000000000004</v>
      </c>
      <c r="K151" s="79">
        <f t="shared" si="96"/>
        <v>583.33000000000004</v>
      </c>
      <c r="L151" s="79">
        <f t="shared" si="96"/>
        <v>583.33000000000004</v>
      </c>
      <c r="M151" s="79">
        <f t="shared" si="96"/>
        <v>583.33000000000004</v>
      </c>
      <c r="N151" s="79">
        <f t="shared" si="96"/>
        <v>583.33000000000004</v>
      </c>
      <c r="O151" s="79">
        <f t="shared" si="96"/>
        <v>583.33000000000004</v>
      </c>
      <c r="P151" s="79">
        <f t="shared" si="96"/>
        <v>583.33000000000004</v>
      </c>
      <c r="Q151" s="79">
        <f t="shared" si="96"/>
        <v>583.33000000000004</v>
      </c>
      <c r="R151" s="71">
        <v>7000</v>
      </c>
      <c r="S151" s="139">
        <f t="shared" si="97"/>
        <v>583.33000000000004</v>
      </c>
      <c r="T151" s="139">
        <f>SUM($F151:G151)</f>
        <v>1166.6600000000001</v>
      </c>
      <c r="U151" s="139">
        <f>SUM($F151:H151)</f>
        <v>1749.9900000000002</v>
      </c>
      <c r="V151" s="139">
        <f>SUM($F151:I151)</f>
        <v>2333.3200000000002</v>
      </c>
      <c r="W151" s="139">
        <f>SUM($F151:J151)</f>
        <v>2916.65</v>
      </c>
      <c r="X151" s="139">
        <f>SUM($F151:K151)</f>
        <v>3499.98</v>
      </c>
      <c r="Y151" s="139">
        <f>SUM($F151:L151)</f>
        <v>4083.31</v>
      </c>
      <c r="Z151" s="139">
        <f>SUM($F151:M151)</f>
        <v>4666.6400000000003</v>
      </c>
      <c r="AA151" s="139">
        <f>SUM($F151:N151)</f>
        <v>5249.97</v>
      </c>
      <c r="AB151" s="139">
        <f>SUM($F151:O151)</f>
        <v>5833.3</v>
      </c>
      <c r="AC151" s="139">
        <f>SUM($F151:P151)</f>
        <v>6416.63</v>
      </c>
      <c r="AD151" s="139">
        <f>SUM($F151:Q151)</f>
        <v>6999.96</v>
      </c>
    </row>
    <row r="152" spans="1:30" x14ac:dyDescent="0.25">
      <c r="A152" s="106">
        <v>147</v>
      </c>
      <c r="C152" s="1" t="s">
        <v>105</v>
      </c>
      <c r="E152" s="101">
        <f t="shared" si="98"/>
        <v>12</v>
      </c>
      <c r="F152" s="79">
        <f t="shared" si="96"/>
        <v>0</v>
      </c>
      <c r="G152" s="79">
        <f t="shared" si="96"/>
        <v>0</v>
      </c>
      <c r="H152" s="79">
        <f t="shared" si="96"/>
        <v>0</v>
      </c>
      <c r="I152" s="79">
        <f t="shared" si="96"/>
        <v>0</v>
      </c>
      <c r="J152" s="79">
        <f t="shared" si="96"/>
        <v>0</v>
      </c>
      <c r="K152" s="79">
        <f t="shared" si="96"/>
        <v>0</v>
      </c>
      <c r="L152" s="79">
        <f t="shared" si="96"/>
        <v>0</v>
      </c>
      <c r="M152" s="79">
        <f t="shared" si="96"/>
        <v>0</v>
      </c>
      <c r="N152" s="79">
        <f t="shared" si="96"/>
        <v>0</v>
      </c>
      <c r="O152" s="79">
        <f t="shared" si="96"/>
        <v>0</v>
      </c>
      <c r="P152" s="79">
        <f t="shared" si="96"/>
        <v>0</v>
      </c>
      <c r="Q152" s="79">
        <f t="shared" si="96"/>
        <v>0</v>
      </c>
      <c r="R152" s="71">
        <v>0</v>
      </c>
      <c r="S152" s="139">
        <f t="shared" si="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8"/>
        <v>12</v>
      </c>
      <c r="F153" s="79">
        <f t="shared" si="96"/>
        <v>4575</v>
      </c>
      <c r="G153" s="79">
        <f t="shared" si="96"/>
        <v>4575</v>
      </c>
      <c r="H153" s="79">
        <f t="shared" si="96"/>
        <v>4575</v>
      </c>
      <c r="I153" s="79">
        <f t="shared" si="96"/>
        <v>4575</v>
      </c>
      <c r="J153" s="79">
        <f t="shared" si="96"/>
        <v>4575</v>
      </c>
      <c r="K153" s="79">
        <f t="shared" si="96"/>
        <v>4575</v>
      </c>
      <c r="L153" s="79">
        <f t="shared" si="96"/>
        <v>4575</v>
      </c>
      <c r="M153" s="79">
        <f t="shared" si="96"/>
        <v>4575</v>
      </c>
      <c r="N153" s="79">
        <f t="shared" si="96"/>
        <v>4575</v>
      </c>
      <c r="O153" s="79">
        <f t="shared" si="96"/>
        <v>4575</v>
      </c>
      <c r="P153" s="79">
        <f t="shared" si="96"/>
        <v>4575</v>
      </c>
      <c r="Q153" s="79">
        <f t="shared" si="96"/>
        <v>4575</v>
      </c>
      <c r="R153" s="71">
        <v>54900</v>
      </c>
      <c r="S153" s="139">
        <f t="shared" si="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8"/>
        <v>12</v>
      </c>
      <c r="F154" s="79">
        <f t="shared" si="96"/>
        <v>116.67</v>
      </c>
      <c r="G154" s="79">
        <f t="shared" si="96"/>
        <v>116.67</v>
      </c>
      <c r="H154" s="79">
        <f t="shared" si="96"/>
        <v>116.67</v>
      </c>
      <c r="I154" s="79">
        <f t="shared" si="96"/>
        <v>116.67</v>
      </c>
      <c r="J154" s="79">
        <f t="shared" si="96"/>
        <v>116.67</v>
      </c>
      <c r="K154" s="79">
        <f t="shared" si="96"/>
        <v>116.67</v>
      </c>
      <c r="L154" s="79">
        <f t="shared" si="96"/>
        <v>116.67</v>
      </c>
      <c r="M154" s="79">
        <f t="shared" si="96"/>
        <v>116.67</v>
      </c>
      <c r="N154" s="79">
        <f t="shared" si="96"/>
        <v>116.67</v>
      </c>
      <c r="O154" s="79">
        <f t="shared" si="96"/>
        <v>116.67</v>
      </c>
      <c r="P154" s="79">
        <f t="shared" si="96"/>
        <v>116.67</v>
      </c>
      <c r="Q154" s="79">
        <f t="shared" si="96"/>
        <v>116.67</v>
      </c>
      <c r="R154" s="71">
        <v>1400</v>
      </c>
      <c r="S154" s="139">
        <f t="shared" si="97"/>
        <v>116.67</v>
      </c>
      <c r="T154" s="139">
        <f>SUM($F154:G154)</f>
        <v>233.34</v>
      </c>
      <c r="U154" s="139">
        <f>SUM($F154:H154)</f>
        <v>350.01</v>
      </c>
      <c r="V154" s="139">
        <f>SUM($F154:I154)</f>
        <v>466.68</v>
      </c>
      <c r="W154" s="139">
        <f>SUM($F154:J154)</f>
        <v>583.35</v>
      </c>
      <c r="X154" s="139">
        <f>SUM($F154:K154)</f>
        <v>700.02</v>
      </c>
      <c r="Y154" s="139">
        <f>SUM($F154:L154)</f>
        <v>816.68999999999994</v>
      </c>
      <c r="Z154" s="139">
        <f>SUM($F154:M154)</f>
        <v>933.3599999999999</v>
      </c>
      <c r="AA154" s="139">
        <f>SUM($F154:N154)</f>
        <v>1050.03</v>
      </c>
      <c r="AB154" s="139">
        <f>SUM($F154:O154)</f>
        <v>1166.7</v>
      </c>
      <c r="AC154" s="139">
        <f>SUM($F154:P154)</f>
        <v>1283.3700000000001</v>
      </c>
      <c r="AD154" s="139">
        <f>SUM($F154:Q154)</f>
        <v>1400.0400000000002</v>
      </c>
    </row>
    <row r="155" spans="1:30" s="5" customFormat="1" x14ac:dyDescent="0.25">
      <c r="A155" s="106">
        <v>150</v>
      </c>
      <c r="B155" s="36" t="s">
        <v>108</v>
      </c>
      <c r="C155" s="36"/>
      <c r="D155" s="36"/>
      <c r="E155" s="97"/>
      <c r="F155" s="81">
        <f t="shared" ref="F155:Q155" si="99">SUM(F147:F154)</f>
        <v>9708.33</v>
      </c>
      <c r="G155" s="81">
        <f t="shared" si="99"/>
        <v>6708.33</v>
      </c>
      <c r="H155" s="81">
        <f t="shared" si="99"/>
        <v>6708.33</v>
      </c>
      <c r="I155" s="81">
        <f t="shared" si="99"/>
        <v>8708.33</v>
      </c>
      <c r="J155" s="81">
        <f t="shared" si="99"/>
        <v>5708.33</v>
      </c>
      <c r="K155" s="81">
        <f t="shared" si="99"/>
        <v>5708.33</v>
      </c>
      <c r="L155" s="81">
        <f t="shared" si="99"/>
        <v>8708.33</v>
      </c>
      <c r="M155" s="81">
        <f t="shared" si="99"/>
        <v>5708.33</v>
      </c>
      <c r="N155" s="81">
        <f t="shared" si="99"/>
        <v>5708.33</v>
      </c>
      <c r="O155" s="81">
        <f t="shared" si="99"/>
        <v>8708.33</v>
      </c>
      <c r="P155" s="81">
        <f t="shared" si="99"/>
        <v>6708.33</v>
      </c>
      <c r="Q155" s="81">
        <f t="shared" si="99"/>
        <v>6708.33</v>
      </c>
      <c r="R155" s="81">
        <f>SUM(R147:R154)</f>
        <v>85500</v>
      </c>
      <c r="S155" s="150">
        <f t="shared" ref="S155:AD155" si="100">SUM(S147:S154)</f>
        <v>9708.33</v>
      </c>
      <c r="T155" s="150">
        <f t="shared" si="100"/>
        <v>16416.66</v>
      </c>
      <c r="U155" s="150">
        <f t="shared" si="100"/>
        <v>23124.989999999998</v>
      </c>
      <c r="V155" s="150">
        <f t="shared" si="100"/>
        <v>31833.32</v>
      </c>
      <c r="W155" s="150">
        <f t="shared" si="100"/>
        <v>37541.65</v>
      </c>
      <c r="X155" s="150">
        <f t="shared" si="100"/>
        <v>43249.979999999996</v>
      </c>
      <c r="Y155" s="150">
        <f t="shared" si="100"/>
        <v>51958.31</v>
      </c>
      <c r="Z155" s="150">
        <f t="shared" si="100"/>
        <v>57666.64</v>
      </c>
      <c r="AA155" s="150">
        <f t="shared" si="100"/>
        <v>63374.97</v>
      </c>
      <c r="AB155" s="150">
        <f t="shared" si="100"/>
        <v>72083.3</v>
      </c>
      <c r="AC155" s="150">
        <f t="shared" si="100"/>
        <v>78791.63</v>
      </c>
      <c r="AD155" s="150">
        <f t="shared" si="100"/>
        <v>85499.959999999992</v>
      </c>
    </row>
    <row r="156" spans="1:30" x14ac:dyDescent="0.25">
      <c r="A156" s="106">
        <v>151</v>
      </c>
      <c r="B156" s="36" t="s">
        <v>109</v>
      </c>
      <c r="C156" s="36"/>
      <c r="D156" s="36"/>
      <c r="E156" s="97"/>
      <c r="F156" s="81">
        <f t="shared" ref="F156:Q156" si="101">+F144+F155</f>
        <v>16287.49</v>
      </c>
      <c r="G156" s="81">
        <f t="shared" si="101"/>
        <v>9974.99</v>
      </c>
      <c r="H156" s="81">
        <f t="shared" si="101"/>
        <v>9974.99</v>
      </c>
      <c r="I156" s="81">
        <f t="shared" si="101"/>
        <v>12187.49</v>
      </c>
      <c r="J156" s="81">
        <f t="shared" si="101"/>
        <v>8974.99</v>
      </c>
      <c r="K156" s="81">
        <f t="shared" si="101"/>
        <v>8974.99</v>
      </c>
      <c r="L156" s="81">
        <f t="shared" si="101"/>
        <v>12187.49</v>
      </c>
      <c r="M156" s="81">
        <f t="shared" si="101"/>
        <v>8974.99</v>
      </c>
      <c r="N156" s="81">
        <f t="shared" si="101"/>
        <v>8974.99</v>
      </c>
      <c r="O156" s="81">
        <f t="shared" si="101"/>
        <v>12187.49</v>
      </c>
      <c r="P156" s="81">
        <f t="shared" si="101"/>
        <v>9974.99</v>
      </c>
      <c r="Q156" s="81">
        <f t="shared" si="101"/>
        <v>9974.99</v>
      </c>
      <c r="R156" s="81">
        <f>+R144+R155</f>
        <v>128650</v>
      </c>
      <c r="S156" s="150">
        <f t="shared" ref="S156:AD156" si="102">+S144+S155</f>
        <v>16287.49</v>
      </c>
      <c r="T156" s="150">
        <f t="shared" si="102"/>
        <v>26262.48</v>
      </c>
      <c r="U156" s="150">
        <f t="shared" si="102"/>
        <v>36237.47</v>
      </c>
      <c r="V156" s="150">
        <f t="shared" si="102"/>
        <v>48424.959999999999</v>
      </c>
      <c r="W156" s="150">
        <f t="shared" si="102"/>
        <v>57399.95</v>
      </c>
      <c r="X156" s="150">
        <f t="shared" si="102"/>
        <v>66374.94</v>
      </c>
      <c r="Y156" s="150">
        <f t="shared" si="102"/>
        <v>78562.429999999993</v>
      </c>
      <c r="Z156" s="150">
        <f t="shared" si="102"/>
        <v>87537.42</v>
      </c>
      <c r="AA156" s="150">
        <f t="shared" si="102"/>
        <v>96512.41</v>
      </c>
      <c r="AB156" s="150">
        <f t="shared" si="102"/>
        <v>108699.9</v>
      </c>
      <c r="AC156" s="150">
        <f t="shared" si="102"/>
        <v>118674.89000000001</v>
      </c>
      <c r="AD156" s="150">
        <f t="shared" si="102"/>
        <v>128649.87999999999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103">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1250</v>
      </c>
      <c r="I161" s="71">
        <v>0</v>
      </c>
      <c r="J161" s="71">
        <v>0</v>
      </c>
      <c r="K161" s="79">
        <f>+$R161/4</f>
        <v>1250</v>
      </c>
      <c r="L161" s="71">
        <v>0</v>
      </c>
      <c r="M161" s="71">
        <v>0</v>
      </c>
      <c r="N161" s="79">
        <f>+$R161/4</f>
        <v>1250</v>
      </c>
      <c r="O161" s="71">
        <v>0</v>
      </c>
      <c r="P161" s="71">
        <v>0</v>
      </c>
      <c r="Q161" s="79">
        <f>+$R161/4</f>
        <v>1250</v>
      </c>
      <c r="R161" s="71">
        <v>5000</v>
      </c>
      <c r="S161" s="139">
        <f t="shared" si="103"/>
        <v>0</v>
      </c>
      <c r="T161" s="139">
        <f>SUM($F161:G161)</f>
        <v>0</v>
      </c>
      <c r="U161" s="139">
        <f>SUM($F161:H161)</f>
        <v>1250</v>
      </c>
      <c r="V161" s="139">
        <f>SUM($F161:I161)</f>
        <v>1250</v>
      </c>
      <c r="W161" s="139">
        <f>SUM($F161:J161)</f>
        <v>1250</v>
      </c>
      <c r="X161" s="139">
        <f>SUM($F161:K161)</f>
        <v>2500</v>
      </c>
      <c r="Y161" s="139">
        <f>SUM($F161:L161)</f>
        <v>2500</v>
      </c>
      <c r="Z161" s="139">
        <f>SUM($F161:M161)</f>
        <v>2500</v>
      </c>
      <c r="AA161" s="139">
        <f>SUM($F161:N161)</f>
        <v>3750</v>
      </c>
      <c r="AB161" s="139">
        <f>SUM($F161:O161)</f>
        <v>3750</v>
      </c>
      <c r="AC161" s="139">
        <f>SUM($F161:P161)</f>
        <v>3750</v>
      </c>
      <c r="AD161" s="139">
        <f>SUM($F161:Q161)</f>
        <v>5000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103"/>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4">+E$16</f>
        <v>12</v>
      </c>
      <c r="F163" s="79">
        <f>ROUND(+$R163/$E163,2)</f>
        <v>416.67</v>
      </c>
      <c r="G163" s="79">
        <f t="shared" ref="G163:Q163" si="105">ROUND(+$R163/$E163,2)</f>
        <v>416.67</v>
      </c>
      <c r="H163" s="79">
        <f t="shared" si="105"/>
        <v>416.67</v>
      </c>
      <c r="I163" s="79">
        <f t="shared" si="105"/>
        <v>416.67</v>
      </c>
      <c r="J163" s="79">
        <f t="shared" si="105"/>
        <v>416.67</v>
      </c>
      <c r="K163" s="79">
        <f t="shared" si="105"/>
        <v>416.67</v>
      </c>
      <c r="L163" s="79">
        <f t="shared" si="105"/>
        <v>416.67</v>
      </c>
      <c r="M163" s="79">
        <f t="shared" si="105"/>
        <v>416.67</v>
      </c>
      <c r="N163" s="79">
        <f t="shared" si="105"/>
        <v>416.67</v>
      </c>
      <c r="O163" s="79">
        <f t="shared" si="105"/>
        <v>416.67</v>
      </c>
      <c r="P163" s="79">
        <f t="shared" si="105"/>
        <v>416.67</v>
      </c>
      <c r="Q163" s="79">
        <f t="shared" si="105"/>
        <v>416.67</v>
      </c>
      <c r="R163" s="71">
        <v>5000</v>
      </c>
      <c r="S163" s="139">
        <f t="shared" si="103"/>
        <v>416.67</v>
      </c>
      <c r="T163" s="139">
        <f>SUM($F163:G163)</f>
        <v>833.34</v>
      </c>
      <c r="U163" s="139">
        <f>SUM($F163:H163)</f>
        <v>1250.01</v>
      </c>
      <c r="V163" s="139">
        <f>SUM($F163:I163)</f>
        <v>1666.68</v>
      </c>
      <c r="W163" s="139">
        <f>SUM($F163:J163)</f>
        <v>2083.35</v>
      </c>
      <c r="X163" s="139">
        <f>SUM($F163:K163)</f>
        <v>2500.02</v>
      </c>
      <c r="Y163" s="139">
        <f>SUM($F163:L163)</f>
        <v>2916.69</v>
      </c>
      <c r="Z163" s="139">
        <f>SUM($F163:M163)</f>
        <v>3333.36</v>
      </c>
      <c r="AA163" s="139">
        <f>SUM($F163:N163)</f>
        <v>3750.03</v>
      </c>
      <c r="AB163" s="139">
        <f>SUM($F163:O163)</f>
        <v>4166.7</v>
      </c>
      <c r="AC163" s="139">
        <f>SUM($F163:P163)</f>
        <v>4583.37</v>
      </c>
      <c r="AD163" s="139">
        <f>SUM($F163:Q163)</f>
        <v>5000.04</v>
      </c>
    </row>
    <row r="164" spans="1:30" s="5" customFormat="1" x14ac:dyDescent="0.25">
      <c r="A164" s="106">
        <v>159</v>
      </c>
      <c r="B164" s="38" t="s">
        <v>116</v>
      </c>
      <c r="C164" s="38"/>
      <c r="D164" s="38"/>
      <c r="E164" s="98"/>
      <c r="F164" s="82">
        <f t="shared" ref="F164:Q164" si="106">SUM(F160:F163)</f>
        <v>416.67</v>
      </c>
      <c r="G164" s="82">
        <f t="shared" si="106"/>
        <v>416.67</v>
      </c>
      <c r="H164" s="82">
        <f t="shared" si="106"/>
        <v>1666.67</v>
      </c>
      <c r="I164" s="82">
        <f t="shared" si="106"/>
        <v>416.67</v>
      </c>
      <c r="J164" s="82">
        <f t="shared" si="106"/>
        <v>416.67</v>
      </c>
      <c r="K164" s="82">
        <f t="shared" si="106"/>
        <v>1666.67</v>
      </c>
      <c r="L164" s="82">
        <f t="shared" si="106"/>
        <v>416.67</v>
      </c>
      <c r="M164" s="82">
        <f t="shared" si="106"/>
        <v>416.67</v>
      </c>
      <c r="N164" s="82">
        <f t="shared" si="106"/>
        <v>1666.67</v>
      </c>
      <c r="O164" s="82">
        <f t="shared" si="106"/>
        <v>416.67</v>
      </c>
      <c r="P164" s="82">
        <f t="shared" si="106"/>
        <v>416.67</v>
      </c>
      <c r="Q164" s="82">
        <f t="shared" si="106"/>
        <v>1666.67</v>
      </c>
      <c r="R164" s="82">
        <f>SUM(R160:R163)</f>
        <v>10000</v>
      </c>
      <c r="S164" s="151">
        <f t="shared" ref="S164:AD164" si="107">SUM(S160:S163)</f>
        <v>416.67</v>
      </c>
      <c r="T164" s="151">
        <f t="shared" si="107"/>
        <v>833.34</v>
      </c>
      <c r="U164" s="151">
        <f t="shared" si="107"/>
        <v>2500.0100000000002</v>
      </c>
      <c r="V164" s="151">
        <f t="shared" si="107"/>
        <v>2916.6800000000003</v>
      </c>
      <c r="W164" s="151">
        <f t="shared" si="107"/>
        <v>3333.35</v>
      </c>
      <c r="X164" s="151">
        <f t="shared" si="107"/>
        <v>5000.0200000000004</v>
      </c>
      <c r="Y164" s="151">
        <f t="shared" si="107"/>
        <v>5416.6900000000005</v>
      </c>
      <c r="Z164" s="151">
        <f t="shared" si="107"/>
        <v>5833.3600000000006</v>
      </c>
      <c r="AA164" s="151">
        <f t="shared" si="107"/>
        <v>7500.0300000000007</v>
      </c>
      <c r="AB164" s="151">
        <f t="shared" si="107"/>
        <v>7916.7</v>
      </c>
      <c r="AC164" s="151">
        <f t="shared" si="107"/>
        <v>8333.369999999999</v>
      </c>
      <c r="AD164" s="151">
        <f t="shared" si="107"/>
        <v>10000.040000000001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8">+F82+F133+F156+F164+F31</f>
        <v>49997.3</v>
      </c>
      <c r="G166" s="83">
        <f t="shared" si="108"/>
        <v>45461.3</v>
      </c>
      <c r="H166" s="83">
        <f t="shared" si="108"/>
        <v>50965.459999999992</v>
      </c>
      <c r="I166" s="83">
        <f t="shared" si="108"/>
        <v>48463.97</v>
      </c>
      <c r="J166" s="83">
        <f t="shared" si="108"/>
        <v>45007.72</v>
      </c>
      <c r="K166" s="83">
        <f t="shared" si="108"/>
        <v>49728.55</v>
      </c>
      <c r="L166" s="83">
        <f t="shared" si="108"/>
        <v>45272.25</v>
      </c>
      <c r="M166" s="83">
        <f t="shared" si="108"/>
        <v>44319.75</v>
      </c>
      <c r="N166" s="83">
        <f t="shared" si="108"/>
        <v>49772.3</v>
      </c>
      <c r="O166" s="83">
        <f t="shared" si="108"/>
        <v>49697.299999999988</v>
      </c>
      <c r="P166" s="83">
        <f t="shared" si="108"/>
        <v>45634.8</v>
      </c>
      <c r="Q166" s="83">
        <f t="shared" si="108"/>
        <v>50772.37999999999</v>
      </c>
      <c r="R166" s="83">
        <f>+R82+R133+R156+R164+R31</f>
        <v>575093</v>
      </c>
      <c r="S166" s="152">
        <f t="shared" ref="S166:AD166" si="109">+S82+S133+S156+S164+S31</f>
        <v>49997.3</v>
      </c>
      <c r="T166" s="152">
        <f t="shared" si="109"/>
        <v>95458.6</v>
      </c>
      <c r="U166" s="152">
        <f t="shared" si="109"/>
        <v>146424.06000000003</v>
      </c>
      <c r="V166" s="152">
        <f t="shared" si="109"/>
        <v>194888.02999999997</v>
      </c>
      <c r="W166" s="152">
        <f t="shared" si="109"/>
        <v>239895.74999999997</v>
      </c>
      <c r="X166" s="152">
        <f t="shared" si="109"/>
        <v>289624.30000000005</v>
      </c>
      <c r="Y166" s="152">
        <f t="shared" si="109"/>
        <v>334896.55</v>
      </c>
      <c r="Z166" s="152">
        <f t="shared" si="109"/>
        <v>379216.29999999993</v>
      </c>
      <c r="AA166" s="152">
        <f t="shared" si="109"/>
        <v>428988.60000000003</v>
      </c>
      <c r="AB166" s="152">
        <f t="shared" si="109"/>
        <v>478685.9</v>
      </c>
      <c r="AC166" s="152">
        <f t="shared" si="109"/>
        <v>524320.69999999995</v>
      </c>
      <c r="AD166" s="152">
        <f t="shared" si="109"/>
        <v>575093.08000000007</v>
      </c>
    </row>
    <row r="167" spans="1:30" x14ac:dyDescent="0.25">
      <c r="A167" s="106">
        <v>162</v>
      </c>
      <c r="B167" s="40" t="s">
        <v>118</v>
      </c>
      <c r="C167" s="41"/>
      <c r="D167" s="41"/>
      <c r="E167" s="99"/>
      <c r="F167" s="83">
        <f t="shared" ref="F167:Q167" si="110">+F22-F166</f>
        <v>48507.209999999992</v>
      </c>
      <c r="G167" s="83">
        <f t="shared" si="110"/>
        <v>-9973.5200000000041</v>
      </c>
      <c r="H167" s="83">
        <f t="shared" si="110"/>
        <v>-14149.479999999989</v>
      </c>
      <c r="I167" s="83">
        <f t="shared" si="110"/>
        <v>-6071.6500000000015</v>
      </c>
      <c r="J167" s="83">
        <f t="shared" si="110"/>
        <v>-7710.510000000002</v>
      </c>
      <c r="K167" s="83">
        <f t="shared" si="110"/>
        <v>-17690.940000000002</v>
      </c>
      <c r="L167" s="83">
        <f t="shared" si="110"/>
        <v>46851.44</v>
      </c>
      <c r="M167" s="83">
        <f t="shared" si="110"/>
        <v>-10702.689999999995</v>
      </c>
      <c r="N167" s="83">
        <f t="shared" si="110"/>
        <v>-15446.050000000003</v>
      </c>
      <c r="O167" s="83">
        <f t="shared" si="110"/>
        <v>-11111.87999999999</v>
      </c>
      <c r="P167" s="83">
        <f t="shared" si="110"/>
        <v>-6205.5299999999988</v>
      </c>
      <c r="Q167" s="83">
        <f t="shared" si="110"/>
        <v>1115.4800000000105</v>
      </c>
      <c r="R167" s="83">
        <f>+R22-R166</f>
        <v>-2588.0000000001164</v>
      </c>
      <c r="S167" s="152">
        <f t="shared" ref="S167:AD167" si="111">+S22-S166</f>
        <v>48507.209999999992</v>
      </c>
      <c r="T167" s="152">
        <f t="shared" si="111"/>
        <v>38533.69</v>
      </c>
      <c r="U167" s="152">
        <f t="shared" si="111"/>
        <v>24384.209999999963</v>
      </c>
      <c r="V167" s="152">
        <f t="shared" si="111"/>
        <v>18312.560000000027</v>
      </c>
      <c r="W167" s="152">
        <f t="shared" si="111"/>
        <v>10602.050000000017</v>
      </c>
      <c r="X167" s="152">
        <f t="shared" si="111"/>
        <v>-7088.8900000000722</v>
      </c>
      <c r="Y167" s="152">
        <f t="shared" si="111"/>
        <v>39762.549999999988</v>
      </c>
      <c r="Z167" s="152">
        <f t="shared" si="111"/>
        <v>29059.860000000044</v>
      </c>
      <c r="AA167" s="152">
        <f t="shared" si="111"/>
        <v>13613.809999999881</v>
      </c>
      <c r="AB167" s="152">
        <f t="shared" si="111"/>
        <v>2501.9299999998766</v>
      </c>
      <c r="AC167" s="152">
        <f t="shared" si="111"/>
        <v>-3703.6000000000349</v>
      </c>
      <c r="AD167" s="152">
        <f t="shared" si="111"/>
        <v>-2588.1200000002282</v>
      </c>
    </row>
    <row r="168" spans="1:30" x14ac:dyDescent="0.25">
      <c r="AC168" s="35" t="s">
        <v>179</v>
      </c>
      <c r="AD168" s="35">
        <f>+R166-AD166</f>
        <v>-8.0000000074505806E-2</v>
      </c>
    </row>
    <row r="169" spans="1:30" x14ac:dyDescent="0.25">
      <c r="AD169" s="35">
        <f>+R167-AD167</f>
        <v>0.12000000011175871</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A151" workbookViewId="0">
      <selection activeCell="T7" sqref="T7"/>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hidden="1" customWidth="1" outlineLevel="1"/>
    <col min="17" max="17" width="15.28515625" style="35" hidden="1" customWidth="1" outlineLevel="1"/>
    <col min="18" max="18" width="13.85546875" style="35" customWidth="1" collapsed="1"/>
    <col min="19" max="29" width="14.140625" style="35" customWidth="1" outlineLevel="1"/>
    <col min="30" max="30" width="15.28515625" style="35" customWidth="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162</v>
      </c>
      <c r="G3" s="237"/>
      <c r="H3" s="237"/>
      <c r="I3" s="237"/>
      <c r="J3" s="237"/>
      <c r="K3" s="237"/>
      <c r="L3" s="237"/>
      <c r="M3" s="237"/>
      <c r="N3" s="237"/>
      <c r="O3" s="237"/>
      <c r="P3" s="237"/>
      <c r="Q3" s="237"/>
      <c r="R3" s="238"/>
      <c r="S3" s="239" t="str">
        <f>+F3&amp;" YTD"</f>
        <v>2011 Actuals YTD</v>
      </c>
      <c r="T3" s="240"/>
      <c r="U3" s="240"/>
      <c r="V3" s="240"/>
      <c r="W3" s="240"/>
      <c r="X3" s="240"/>
      <c r="Y3" s="240"/>
      <c r="Z3" s="240"/>
      <c r="AA3" s="240"/>
      <c r="AB3" s="240"/>
      <c r="AC3" s="240"/>
      <c r="AD3" s="241"/>
    </row>
    <row r="4" spans="1:30" s="5" customFormat="1" ht="53.25" customHeight="1" x14ac:dyDescent="0.25">
      <c r="A4" s="107"/>
      <c r="E4" s="88"/>
      <c r="F4" s="69" t="s">
        <v>166</v>
      </c>
      <c r="G4" s="69" t="s">
        <v>168</v>
      </c>
      <c r="H4" s="69" t="s">
        <v>169</v>
      </c>
      <c r="I4" s="69" t="s">
        <v>170</v>
      </c>
      <c r="J4" s="69" t="s">
        <v>171</v>
      </c>
      <c r="K4" s="69" t="s">
        <v>172</v>
      </c>
      <c r="L4" s="69" t="s">
        <v>173</v>
      </c>
      <c r="M4" s="69" t="s">
        <v>174</v>
      </c>
      <c r="N4" s="69" t="s">
        <v>175</v>
      </c>
      <c r="O4" s="69" t="s">
        <v>176</v>
      </c>
      <c r="P4" s="69" t="s">
        <v>177</v>
      </c>
      <c r="Q4" s="69" t="s">
        <v>178</v>
      </c>
      <c r="R4" s="69"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97266</v>
      </c>
      <c r="G7" s="71">
        <v>33838.51</v>
      </c>
      <c r="H7" s="71">
        <v>34489</v>
      </c>
      <c r="I7" s="71">
        <v>36731</v>
      </c>
      <c r="J7" s="71">
        <v>36312.629999999997</v>
      </c>
      <c r="K7" s="71">
        <v>31074.85</v>
      </c>
      <c r="L7" s="71">
        <v>90911.69</v>
      </c>
      <c r="M7" s="71">
        <v>32647.75</v>
      </c>
      <c r="N7" s="71">
        <v>33354</v>
      </c>
      <c r="O7" s="71">
        <v>37595.5</v>
      </c>
      <c r="P7" s="71">
        <v>37440</v>
      </c>
      <c r="Q7" s="71">
        <v>45863.5</v>
      </c>
      <c r="R7" s="79">
        <f>SUM(F7:Q7)</f>
        <v>547524.42999999993</v>
      </c>
      <c r="S7" s="139">
        <f>SUM(F7)</f>
        <v>97266</v>
      </c>
      <c r="T7" s="139">
        <f>SUM($F7:G7)</f>
        <v>131104.51</v>
      </c>
      <c r="U7" s="139">
        <f>SUM($F7:H7)</f>
        <v>165593.51</v>
      </c>
      <c r="V7" s="139">
        <f>SUM($F7:I7)</f>
        <v>202324.51</v>
      </c>
      <c r="W7" s="139">
        <f>SUM($F7:J7)</f>
        <v>238637.14</v>
      </c>
      <c r="X7" s="139">
        <f>SUM($F7:K7)</f>
        <v>269711.99</v>
      </c>
      <c r="Y7" s="139">
        <f>SUM($F7:L7)</f>
        <v>360623.68</v>
      </c>
      <c r="Z7" s="139">
        <f>SUM($F7:M7)</f>
        <v>393271.43</v>
      </c>
      <c r="AA7" s="139">
        <f>SUM($F7:N7)</f>
        <v>426625.43</v>
      </c>
      <c r="AB7" s="139">
        <f>SUM($F7:O7)</f>
        <v>464220.93</v>
      </c>
      <c r="AC7" s="139">
        <f>SUM($F7:P7)</f>
        <v>501660.93</v>
      </c>
      <c r="AD7" s="139">
        <f>SUM($F7:Q7)</f>
        <v>547524.42999999993</v>
      </c>
    </row>
    <row r="8" spans="1:30" x14ac:dyDescent="0.25">
      <c r="A8" s="106">
        <v>3</v>
      </c>
      <c r="C8" s="1" t="s">
        <v>2</v>
      </c>
      <c r="F8" s="71">
        <v>0</v>
      </c>
      <c r="G8" s="71">
        <v>0</v>
      </c>
      <c r="H8" s="71">
        <v>0</v>
      </c>
      <c r="I8" s="71">
        <v>0</v>
      </c>
      <c r="J8" s="71">
        <v>0</v>
      </c>
      <c r="K8" s="71">
        <v>0</v>
      </c>
      <c r="L8" s="71">
        <v>0</v>
      </c>
      <c r="M8" s="71">
        <v>0</v>
      </c>
      <c r="N8" s="71">
        <v>0</v>
      </c>
      <c r="O8" s="71">
        <v>0</v>
      </c>
      <c r="P8" s="71">
        <v>0</v>
      </c>
      <c r="Q8" s="71">
        <v>196</v>
      </c>
      <c r="R8" s="79">
        <f t="shared" ref="R8:R12" si="0">SUM(F8:Q8)</f>
        <v>196</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196</v>
      </c>
    </row>
    <row r="9" spans="1:30" x14ac:dyDescent="0.25">
      <c r="A9" s="106">
        <v>4</v>
      </c>
      <c r="C9" s="1" t="s">
        <v>3</v>
      </c>
      <c r="F9" s="71">
        <v>0</v>
      </c>
      <c r="G9" s="71">
        <v>0</v>
      </c>
      <c r="H9" s="71">
        <v>0</v>
      </c>
      <c r="I9" s="71">
        <v>3935.65</v>
      </c>
      <c r="J9" s="71">
        <v>105</v>
      </c>
      <c r="K9" s="71">
        <v>0</v>
      </c>
      <c r="L9" s="71">
        <v>0</v>
      </c>
      <c r="M9" s="71">
        <v>0</v>
      </c>
      <c r="N9" s="71">
        <v>0</v>
      </c>
      <c r="O9" s="71">
        <v>0</v>
      </c>
      <c r="P9" s="71">
        <v>0</v>
      </c>
      <c r="Q9" s="71">
        <v>0</v>
      </c>
      <c r="R9" s="79">
        <f t="shared" si="0"/>
        <v>4040.65</v>
      </c>
      <c r="S9" s="139">
        <f t="shared" si="1"/>
        <v>0</v>
      </c>
      <c r="T9" s="139">
        <f>SUM($F9:G9)</f>
        <v>0</v>
      </c>
      <c r="U9" s="139">
        <f>SUM($F9:H9)</f>
        <v>0</v>
      </c>
      <c r="V9" s="139">
        <f>SUM($F9:I9)</f>
        <v>3935.65</v>
      </c>
      <c r="W9" s="139">
        <f>SUM($F9:J9)</f>
        <v>4040.65</v>
      </c>
      <c r="X9" s="139">
        <f>SUM($F9:K9)</f>
        <v>4040.65</v>
      </c>
      <c r="Y9" s="139">
        <f>SUM($F9:L9)</f>
        <v>4040.65</v>
      </c>
      <c r="Z9" s="139">
        <f>SUM($F9:M9)</f>
        <v>4040.65</v>
      </c>
      <c r="AA9" s="139">
        <f>SUM($F9:N9)</f>
        <v>4040.65</v>
      </c>
      <c r="AB9" s="139">
        <f>SUM($F9:O9)</f>
        <v>4040.65</v>
      </c>
      <c r="AC9" s="139">
        <f>SUM($F9:P9)</f>
        <v>4040.65</v>
      </c>
      <c r="AD9" s="139">
        <f>SUM($F9:Q9)</f>
        <v>4040.65</v>
      </c>
    </row>
    <row r="10" spans="1:30" x14ac:dyDescent="0.25">
      <c r="A10" s="106">
        <v>5</v>
      </c>
      <c r="C10" s="1" t="s">
        <v>4</v>
      </c>
      <c r="F10" s="71">
        <v>0</v>
      </c>
      <c r="G10" s="71">
        <v>0</v>
      </c>
      <c r="H10" s="71">
        <v>0</v>
      </c>
      <c r="I10" s="71">
        <v>0</v>
      </c>
      <c r="J10" s="71">
        <v>0</v>
      </c>
      <c r="K10" s="71">
        <v>0</v>
      </c>
      <c r="L10" s="71">
        <v>0</v>
      </c>
      <c r="M10" s="71">
        <v>0</v>
      </c>
      <c r="N10" s="71">
        <v>0</v>
      </c>
      <c r="O10" s="71">
        <v>0</v>
      </c>
      <c r="P10" s="71">
        <v>793</v>
      </c>
      <c r="Q10" s="71">
        <v>40</v>
      </c>
      <c r="R10" s="79">
        <f t="shared" si="0"/>
        <v>833</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793</v>
      </c>
      <c r="AD10" s="139">
        <f>SUM($F10:Q10)</f>
        <v>833</v>
      </c>
    </row>
    <row r="11" spans="1:30" x14ac:dyDescent="0.25">
      <c r="A11" s="106">
        <v>6</v>
      </c>
      <c r="C11" s="1" t="s">
        <v>5</v>
      </c>
      <c r="F11" s="71">
        <v>0</v>
      </c>
      <c r="G11" s="71">
        <v>0</v>
      </c>
      <c r="H11" s="71">
        <v>0</v>
      </c>
      <c r="I11" s="71">
        <v>0</v>
      </c>
      <c r="J11" s="71">
        <v>0</v>
      </c>
      <c r="K11" s="71">
        <v>0</v>
      </c>
      <c r="L11" s="71">
        <v>0</v>
      </c>
      <c r="M11" s="71">
        <v>0</v>
      </c>
      <c r="N11" s="71">
        <v>0</v>
      </c>
      <c r="O11" s="71">
        <v>0</v>
      </c>
      <c r="P11" s="71">
        <v>0</v>
      </c>
      <c r="Q11" s="71">
        <v>3904</v>
      </c>
      <c r="R11" s="79">
        <f t="shared" si="0"/>
        <v>3904</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3904</v>
      </c>
    </row>
    <row r="12" spans="1:30" x14ac:dyDescent="0.25">
      <c r="A12" s="106">
        <v>7</v>
      </c>
      <c r="C12" s="1" t="s">
        <v>6</v>
      </c>
      <c r="F12" s="71">
        <v>0</v>
      </c>
      <c r="G12" s="71">
        <v>0</v>
      </c>
      <c r="H12" s="71">
        <v>1058.3599999999999</v>
      </c>
      <c r="I12" s="71">
        <v>1351</v>
      </c>
      <c r="J12" s="71">
        <v>0</v>
      </c>
      <c r="K12" s="71">
        <v>0</v>
      </c>
      <c r="L12" s="71">
        <v>0</v>
      </c>
      <c r="M12" s="71">
        <v>0</v>
      </c>
      <c r="N12" s="71">
        <v>0</v>
      </c>
      <c r="O12" s="71">
        <v>0</v>
      </c>
      <c r="P12" s="71">
        <v>0</v>
      </c>
      <c r="Q12" s="71">
        <v>0</v>
      </c>
      <c r="R12" s="79">
        <f t="shared" si="0"/>
        <v>2409.3599999999997</v>
      </c>
      <c r="S12" s="139">
        <f t="shared" si="1"/>
        <v>0</v>
      </c>
      <c r="T12" s="139">
        <f>SUM($F12:G12)</f>
        <v>0</v>
      </c>
      <c r="U12" s="139">
        <f>SUM($F12:H12)</f>
        <v>1058.3599999999999</v>
      </c>
      <c r="V12" s="139">
        <f>SUM($F12:I12)</f>
        <v>2409.3599999999997</v>
      </c>
      <c r="W12" s="139">
        <f>SUM($F12:J12)</f>
        <v>2409.3599999999997</v>
      </c>
      <c r="X12" s="139">
        <f>SUM($F12:K12)</f>
        <v>2409.3599999999997</v>
      </c>
      <c r="Y12" s="139">
        <f>SUM($F12:L12)</f>
        <v>2409.3599999999997</v>
      </c>
      <c r="Z12" s="139">
        <f>SUM($F12:M12)</f>
        <v>2409.3599999999997</v>
      </c>
      <c r="AA12" s="139">
        <f>SUM($F12:N12)</f>
        <v>2409.3599999999997</v>
      </c>
      <c r="AB12" s="139">
        <f>SUM($F12:O12)</f>
        <v>2409.3599999999997</v>
      </c>
      <c r="AC12" s="139">
        <f>SUM($F12:P12)</f>
        <v>2409.3599999999997</v>
      </c>
      <c r="AD12" s="139">
        <f>SUM($F12:Q12)</f>
        <v>2409.3599999999997</v>
      </c>
    </row>
    <row r="13" spans="1:30" x14ac:dyDescent="0.25">
      <c r="A13" s="106">
        <v>8</v>
      </c>
      <c r="B13" s="15" t="s">
        <v>7</v>
      </c>
      <c r="C13" s="15"/>
      <c r="D13" s="15"/>
      <c r="E13" s="90"/>
      <c r="F13" s="72">
        <f t="shared" ref="F13:Q13" si="2">SUM(F7:F12)</f>
        <v>97266</v>
      </c>
      <c r="G13" s="72">
        <f t="shared" si="2"/>
        <v>33838.51</v>
      </c>
      <c r="H13" s="72">
        <f t="shared" si="2"/>
        <v>35547.360000000001</v>
      </c>
      <c r="I13" s="72">
        <f t="shared" si="2"/>
        <v>42017.65</v>
      </c>
      <c r="J13" s="72">
        <f t="shared" si="2"/>
        <v>36417.629999999997</v>
      </c>
      <c r="K13" s="72">
        <f t="shared" si="2"/>
        <v>31074.85</v>
      </c>
      <c r="L13" s="72">
        <f t="shared" si="2"/>
        <v>90911.69</v>
      </c>
      <c r="M13" s="72">
        <f t="shared" si="2"/>
        <v>32647.75</v>
      </c>
      <c r="N13" s="72">
        <f t="shared" si="2"/>
        <v>33354</v>
      </c>
      <c r="O13" s="72">
        <f t="shared" si="2"/>
        <v>37595.5</v>
      </c>
      <c r="P13" s="72">
        <f t="shared" si="2"/>
        <v>38233</v>
      </c>
      <c r="Q13" s="72">
        <f t="shared" si="2"/>
        <v>50003.5</v>
      </c>
      <c r="R13" s="72">
        <f>SUM(R7:R12)</f>
        <v>558907.43999999994</v>
      </c>
      <c r="S13" s="140">
        <f t="shared" ref="S13:AD13" si="3">SUM(S7:S12)</f>
        <v>97266</v>
      </c>
      <c r="T13" s="140">
        <f t="shared" si="3"/>
        <v>131104.51</v>
      </c>
      <c r="U13" s="140">
        <f t="shared" si="3"/>
        <v>166651.87</v>
      </c>
      <c r="V13" s="140">
        <f t="shared" si="3"/>
        <v>208669.52</v>
      </c>
      <c r="W13" s="140">
        <f t="shared" si="3"/>
        <v>245087.15</v>
      </c>
      <c r="X13" s="140">
        <f t="shared" si="3"/>
        <v>276162</v>
      </c>
      <c r="Y13" s="140">
        <f t="shared" si="3"/>
        <v>367073.69</v>
      </c>
      <c r="Z13" s="140">
        <f t="shared" si="3"/>
        <v>399721.44</v>
      </c>
      <c r="AA13" s="140">
        <f t="shared" si="3"/>
        <v>433075.44</v>
      </c>
      <c r="AB13" s="140">
        <f t="shared" si="3"/>
        <v>470670.94</v>
      </c>
      <c r="AC13" s="140">
        <f t="shared" si="3"/>
        <v>508903.94</v>
      </c>
      <c r="AD13" s="140">
        <f t="shared" si="3"/>
        <v>558907.43999999994</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c r="F16" s="71">
        <v>667.02</v>
      </c>
      <c r="G16" s="71">
        <v>749</v>
      </c>
      <c r="H16" s="71">
        <v>1082.72</v>
      </c>
      <c r="I16" s="71">
        <v>1155.7</v>
      </c>
      <c r="J16" s="71">
        <v>485.28</v>
      </c>
      <c r="K16" s="71">
        <v>828.18</v>
      </c>
      <c r="L16" s="71">
        <v>592.23</v>
      </c>
      <c r="M16" s="71">
        <v>394.34</v>
      </c>
      <c r="N16" s="71">
        <v>600.4</v>
      </c>
      <c r="O16" s="71">
        <v>1255.49</v>
      </c>
      <c r="P16" s="71">
        <v>998.45</v>
      </c>
      <c r="Q16" s="71">
        <v>1343.41</v>
      </c>
      <c r="R16" s="79">
        <f t="shared" ref="R16:R20" si="4">SUM(F16:Q16)</f>
        <v>10152.219999999999</v>
      </c>
      <c r="S16" s="139">
        <f t="shared" ref="S16:S20" si="5">SUM(F16)</f>
        <v>667.02</v>
      </c>
      <c r="T16" s="139">
        <f>SUM($F16:G16)</f>
        <v>1416.02</v>
      </c>
      <c r="U16" s="139">
        <f>SUM($F16:H16)</f>
        <v>2498.7399999999998</v>
      </c>
      <c r="V16" s="139">
        <f>SUM($F16:I16)</f>
        <v>3654.4399999999996</v>
      </c>
      <c r="W16" s="139">
        <f>SUM($F16:J16)</f>
        <v>4139.7199999999993</v>
      </c>
      <c r="X16" s="139">
        <f>SUM($F16:K16)</f>
        <v>4967.8999999999996</v>
      </c>
      <c r="Y16" s="139">
        <f>SUM($F16:L16)</f>
        <v>5560.1299999999992</v>
      </c>
      <c r="Z16" s="139">
        <f>SUM($F16:M16)</f>
        <v>5954.4699999999993</v>
      </c>
      <c r="AA16" s="139">
        <f>SUM($F16:N16)</f>
        <v>6554.869999999999</v>
      </c>
      <c r="AB16" s="139">
        <f>SUM($F16:O16)</f>
        <v>7810.3599999999988</v>
      </c>
      <c r="AC16" s="139">
        <f>SUM($F16:P16)</f>
        <v>8808.81</v>
      </c>
      <c r="AD16" s="139">
        <f>SUM($F16:Q16)</f>
        <v>10152.219999999999</v>
      </c>
    </row>
    <row r="17" spans="1:30" x14ac:dyDescent="0.25">
      <c r="A17" s="106">
        <v>12</v>
      </c>
      <c r="C17" s="1" t="s">
        <v>8</v>
      </c>
      <c r="E17" s="101"/>
      <c r="F17" s="71">
        <v>276.91000000000003</v>
      </c>
      <c r="G17" s="71">
        <v>343</v>
      </c>
      <c r="H17" s="71">
        <v>257</v>
      </c>
      <c r="I17" s="71">
        <v>223</v>
      </c>
      <c r="J17" s="71">
        <v>644</v>
      </c>
      <c r="K17" s="71">
        <v>542</v>
      </c>
      <c r="L17" s="71">
        <v>5125</v>
      </c>
      <c r="M17" s="71">
        <v>396</v>
      </c>
      <c r="N17" s="71">
        <v>53</v>
      </c>
      <c r="O17" s="71">
        <v>255</v>
      </c>
      <c r="P17" s="71">
        <v>6561</v>
      </c>
      <c r="Q17" s="71">
        <v>-7007.27</v>
      </c>
      <c r="R17" s="79">
        <f t="shared" si="4"/>
        <v>7668.6399999999994</v>
      </c>
      <c r="S17" s="139">
        <f t="shared" si="5"/>
        <v>276.91000000000003</v>
      </c>
      <c r="T17" s="139">
        <f>SUM($F17:G17)</f>
        <v>619.91000000000008</v>
      </c>
      <c r="U17" s="139">
        <f>SUM($F17:H17)</f>
        <v>876.91000000000008</v>
      </c>
      <c r="V17" s="139">
        <f>SUM($F17:I17)</f>
        <v>1099.9100000000001</v>
      </c>
      <c r="W17" s="139">
        <f>SUM($F17:J17)</f>
        <v>1743.91</v>
      </c>
      <c r="X17" s="139">
        <f>SUM($F17:K17)</f>
        <v>2285.91</v>
      </c>
      <c r="Y17" s="139">
        <f>SUM($F17:L17)</f>
        <v>7410.91</v>
      </c>
      <c r="Z17" s="139">
        <f>SUM($F17:M17)</f>
        <v>7806.91</v>
      </c>
      <c r="AA17" s="139">
        <f>SUM($F17:N17)</f>
        <v>7859.91</v>
      </c>
      <c r="AB17" s="139">
        <f>SUM($F17:O17)</f>
        <v>8114.91</v>
      </c>
      <c r="AC17" s="139">
        <f>SUM($F17:P17)</f>
        <v>14675.91</v>
      </c>
      <c r="AD17" s="139">
        <f>SUM($F17:Q17)</f>
        <v>7668.6399999999994</v>
      </c>
    </row>
    <row r="18" spans="1:30" x14ac:dyDescent="0.25">
      <c r="A18" s="106">
        <v>13</v>
      </c>
      <c r="C18" s="1" t="s">
        <v>10</v>
      </c>
      <c r="E18" s="101"/>
      <c r="F18" s="71">
        <v>0</v>
      </c>
      <c r="G18" s="71">
        <v>699</v>
      </c>
      <c r="H18" s="71">
        <v>0</v>
      </c>
      <c r="I18" s="71">
        <v>0</v>
      </c>
      <c r="J18" s="71">
        <v>0</v>
      </c>
      <c r="K18" s="71">
        <v>0</v>
      </c>
      <c r="L18" s="71">
        <v>0</v>
      </c>
      <c r="M18" s="71">
        <v>0</v>
      </c>
      <c r="N18" s="71">
        <v>0</v>
      </c>
      <c r="O18" s="71">
        <v>0</v>
      </c>
      <c r="P18" s="71">
        <v>0</v>
      </c>
      <c r="Q18" s="71">
        <v>0</v>
      </c>
      <c r="R18" s="79">
        <f t="shared" si="4"/>
        <v>699</v>
      </c>
      <c r="S18" s="139">
        <f t="shared" si="5"/>
        <v>0</v>
      </c>
      <c r="T18" s="139">
        <f>SUM($F18:G18)</f>
        <v>699</v>
      </c>
      <c r="U18" s="139">
        <f>SUM($F18:H18)</f>
        <v>699</v>
      </c>
      <c r="V18" s="139">
        <f>SUM($F18:I18)</f>
        <v>699</v>
      </c>
      <c r="W18" s="139">
        <f>SUM($F18:J18)</f>
        <v>699</v>
      </c>
      <c r="X18" s="139">
        <f>SUM($F18:K18)</f>
        <v>699</v>
      </c>
      <c r="Y18" s="139">
        <f>SUM($F18:L18)</f>
        <v>699</v>
      </c>
      <c r="Z18" s="139">
        <f>SUM($F18:M18)</f>
        <v>699</v>
      </c>
      <c r="AA18" s="139">
        <f>SUM($F18:N18)</f>
        <v>699</v>
      </c>
      <c r="AB18" s="139">
        <f>SUM($F18:O18)</f>
        <v>699</v>
      </c>
      <c r="AC18" s="139">
        <f>SUM($F18:P18)</f>
        <v>699</v>
      </c>
      <c r="AD18" s="139">
        <f>SUM($F18:Q18)</f>
        <v>699</v>
      </c>
    </row>
    <row r="19" spans="1:30" x14ac:dyDescent="0.25">
      <c r="A19" s="106">
        <v>14</v>
      </c>
      <c r="C19" s="1" t="s">
        <v>12</v>
      </c>
      <c r="E19" s="101"/>
      <c r="F19" s="71">
        <v>8.5500000000000007</v>
      </c>
      <c r="G19" s="71">
        <v>0</v>
      </c>
      <c r="H19" s="71">
        <v>0</v>
      </c>
      <c r="I19" s="71">
        <v>3.68</v>
      </c>
      <c r="J19" s="71">
        <v>0</v>
      </c>
      <c r="K19" s="71">
        <v>3.08</v>
      </c>
      <c r="L19" s="71">
        <v>0</v>
      </c>
      <c r="M19" s="71">
        <v>0</v>
      </c>
      <c r="N19" s="71">
        <v>1.1399999999999999</v>
      </c>
      <c r="O19" s="71">
        <v>0</v>
      </c>
      <c r="P19" s="71">
        <v>0</v>
      </c>
      <c r="Q19" s="71">
        <v>1.74</v>
      </c>
      <c r="R19" s="79">
        <f t="shared" si="4"/>
        <v>18.189999999999998</v>
      </c>
      <c r="S19" s="139">
        <f t="shared" si="5"/>
        <v>8.5500000000000007</v>
      </c>
      <c r="T19" s="139">
        <f>SUM($F19:G19)</f>
        <v>8.5500000000000007</v>
      </c>
      <c r="U19" s="139">
        <f>SUM($F19:H19)</f>
        <v>8.5500000000000007</v>
      </c>
      <c r="V19" s="139">
        <f>SUM($F19:I19)</f>
        <v>12.23</v>
      </c>
      <c r="W19" s="139">
        <f>SUM($F19:J19)</f>
        <v>12.23</v>
      </c>
      <c r="X19" s="139">
        <f>SUM($F19:K19)</f>
        <v>15.31</v>
      </c>
      <c r="Y19" s="139">
        <f>SUM($F19:L19)</f>
        <v>15.31</v>
      </c>
      <c r="Z19" s="139">
        <f>SUM($F19:M19)</f>
        <v>15.31</v>
      </c>
      <c r="AA19" s="139">
        <f>SUM($F19:N19)</f>
        <v>16.45</v>
      </c>
      <c r="AB19" s="139">
        <f>SUM($F19:O19)</f>
        <v>16.45</v>
      </c>
      <c r="AC19" s="139">
        <f>SUM($F19:P19)</f>
        <v>16.45</v>
      </c>
      <c r="AD19" s="139">
        <f>SUM($F19:Q19)</f>
        <v>18.189999999999998</v>
      </c>
    </row>
    <row r="20" spans="1:30" x14ac:dyDescent="0.25">
      <c r="A20" s="106">
        <v>15</v>
      </c>
      <c r="C20" s="1" t="s">
        <v>142</v>
      </c>
      <c r="E20" s="101"/>
      <c r="F20" s="71">
        <v>0</v>
      </c>
      <c r="G20" s="71">
        <v>-13.87</v>
      </c>
      <c r="H20" s="71">
        <v>65.31</v>
      </c>
      <c r="I20" s="71">
        <v>-65.31</v>
      </c>
      <c r="J20" s="71">
        <v>859</v>
      </c>
      <c r="K20" s="71">
        <v>-636.13</v>
      </c>
      <c r="L20" s="71">
        <v>-199</v>
      </c>
      <c r="M20" s="71">
        <v>450</v>
      </c>
      <c r="N20" s="71">
        <v>-460</v>
      </c>
      <c r="O20" s="71">
        <v>28.17</v>
      </c>
      <c r="P20" s="71">
        <v>774.35</v>
      </c>
      <c r="Q20" s="71">
        <v>-802.52</v>
      </c>
      <c r="R20" s="79">
        <f t="shared" si="4"/>
        <v>0</v>
      </c>
      <c r="S20" s="139">
        <f t="shared" si="5"/>
        <v>0</v>
      </c>
      <c r="T20" s="139">
        <f>SUM($F20:G20)</f>
        <v>-13.87</v>
      </c>
      <c r="U20" s="139">
        <f>SUM($F20:H20)</f>
        <v>51.440000000000005</v>
      </c>
      <c r="V20" s="139">
        <f>SUM($F20:I20)</f>
        <v>-13.869999999999997</v>
      </c>
      <c r="W20" s="139">
        <f>SUM($F20:J20)</f>
        <v>845.13</v>
      </c>
      <c r="X20" s="139">
        <f>SUM($F20:K20)</f>
        <v>209</v>
      </c>
      <c r="Y20" s="139">
        <f>SUM($F20:L20)</f>
        <v>10</v>
      </c>
      <c r="Z20" s="139">
        <f>SUM($F20:M20)</f>
        <v>460</v>
      </c>
      <c r="AA20" s="139">
        <f>SUM($F20:N20)</f>
        <v>0</v>
      </c>
      <c r="AB20" s="139">
        <f>SUM($F20:O20)</f>
        <v>28.17</v>
      </c>
      <c r="AC20" s="139">
        <f>SUM($F20:P20)</f>
        <v>802.52</v>
      </c>
      <c r="AD20" s="139">
        <f>SUM($F20:Q20)</f>
        <v>0</v>
      </c>
    </row>
    <row r="21" spans="1:30" x14ac:dyDescent="0.25">
      <c r="A21" s="106">
        <v>16</v>
      </c>
      <c r="B21" s="15" t="s">
        <v>11</v>
      </c>
      <c r="C21" s="15"/>
      <c r="D21" s="15"/>
      <c r="E21" s="90"/>
      <c r="F21" s="72">
        <f t="shared" ref="F21:Q21" si="6">SUM(F16:F20)</f>
        <v>952.48</v>
      </c>
      <c r="G21" s="72">
        <f t="shared" si="6"/>
        <v>1777.13</v>
      </c>
      <c r="H21" s="72">
        <f t="shared" si="6"/>
        <v>1405.03</v>
      </c>
      <c r="I21" s="72">
        <f t="shared" si="6"/>
        <v>1317.0700000000002</v>
      </c>
      <c r="J21" s="72">
        <f t="shared" si="6"/>
        <v>1988.28</v>
      </c>
      <c r="K21" s="72">
        <f t="shared" si="6"/>
        <v>737.12999999999977</v>
      </c>
      <c r="L21" s="72">
        <f t="shared" si="6"/>
        <v>5518.23</v>
      </c>
      <c r="M21" s="72">
        <f t="shared" si="6"/>
        <v>1240.3399999999999</v>
      </c>
      <c r="N21" s="72">
        <f t="shared" si="6"/>
        <v>194.53999999999996</v>
      </c>
      <c r="O21" s="72">
        <f t="shared" si="6"/>
        <v>1538.66</v>
      </c>
      <c r="P21" s="72">
        <f t="shared" si="6"/>
        <v>8333.7999999999993</v>
      </c>
      <c r="Q21" s="72">
        <f t="shared" si="6"/>
        <v>-6464.6400000000012</v>
      </c>
      <c r="R21" s="72">
        <f>SUM(R16:R20)</f>
        <v>18538.05</v>
      </c>
      <c r="S21" s="140">
        <f t="shared" ref="S21:AD21" si="7">SUM(S16:S20)</f>
        <v>952.48</v>
      </c>
      <c r="T21" s="140">
        <f t="shared" si="7"/>
        <v>2729.6100000000006</v>
      </c>
      <c r="U21" s="140">
        <f t="shared" si="7"/>
        <v>4134.6399999999994</v>
      </c>
      <c r="V21" s="140">
        <f t="shared" si="7"/>
        <v>5451.7099999999991</v>
      </c>
      <c r="W21" s="140">
        <f t="shared" si="7"/>
        <v>7439.9899999999989</v>
      </c>
      <c r="X21" s="140">
        <f t="shared" si="7"/>
        <v>8177.12</v>
      </c>
      <c r="Y21" s="140">
        <f t="shared" si="7"/>
        <v>13695.349999999999</v>
      </c>
      <c r="Z21" s="140">
        <f t="shared" si="7"/>
        <v>14935.689999999999</v>
      </c>
      <c r="AA21" s="140">
        <f t="shared" si="7"/>
        <v>15130.23</v>
      </c>
      <c r="AB21" s="140">
        <f t="shared" si="7"/>
        <v>16668.889999999996</v>
      </c>
      <c r="AC21" s="140">
        <f t="shared" si="7"/>
        <v>25002.690000000002</v>
      </c>
      <c r="AD21" s="140">
        <f t="shared" si="7"/>
        <v>18538.05</v>
      </c>
    </row>
    <row r="22" spans="1:30" x14ac:dyDescent="0.25">
      <c r="A22" s="106">
        <v>17</v>
      </c>
      <c r="B22" s="15" t="s">
        <v>14</v>
      </c>
      <c r="C22" s="15"/>
      <c r="D22" s="15"/>
      <c r="E22" s="90"/>
      <c r="F22" s="72">
        <f t="shared" ref="F22:Q22" si="8">+F13+F21</f>
        <v>98218.48</v>
      </c>
      <c r="G22" s="72">
        <f t="shared" si="8"/>
        <v>35615.64</v>
      </c>
      <c r="H22" s="72">
        <f t="shared" si="8"/>
        <v>36952.39</v>
      </c>
      <c r="I22" s="72">
        <f t="shared" si="8"/>
        <v>43334.720000000001</v>
      </c>
      <c r="J22" s="72">
        <f t="shared" si="8"/>
        <v>38405.909999999996</v>
      </c>
      <c r="K22" s="72">
        <f t="shared" si="8"/>
        <v>31811.98</v>
      </c>
      <c r="L22" s="72">
        <f t="shared" si="8"/>
        <v>96429.92</v>
      </c>
      <c r="M22" s="72">
        <f t="shared" si="8"/>
        <v>33888.089999999997</v>
      </c>
      <c r="N22" s="72">
        <f t="shared" si="8"/>
        <v>33548.54</v>
      </c>
      <c r="O22" s="72">
        <f t="shared" si="8"/>
        <v>39134.160000000003</v>
      </c>
      <c r="P22" s="72">
        <f t="shared" si="8"/>
        <v>46566.8</v>
      </c>
      <c r="Q22" s="72">
        <f t="shared" si="8"/>
        <v>43538.86</v>
      </c>
      <c r="R22" s="72">
        <f>+R13+R21</f>
        <v>577445.49</v>
      </c>
      <c r="S22" s="140">
        <f t="shared" ref="S22:AD22" si="9">+S13+S21</f>
        <v>98218.48</v>
      </c>
      <c r="T22" s="140">
        <f t="shared" si="9"/>
        <v>133834.12</v>
      </c>
      <c r="U22" s="140">
        <f t="shared" si="9"/>
        <v>170786.51</v>
      </c>
      <c r="V22" s="140">
        <f t="shared" si="9"/>
        <v>214121.22999999998</v>
      </c>
      <c r="W22" s="140">
        <f t="shared" si="9"/>
        <v>252527.13999999998</v>
      </c>
      <c r="X22" s="140">
        <f t="shared" si="9"/>
        <v>284339.12</v>
      </c>
      <c r="Y22" s="140">
        <f t="shared" si="9"/>
        <v>380769.04</v>
      </c>
      <c r="Z22" s="140">
        <f t="shared" si="9"/>
        <v>414657.13</v>
      </c>
      <c r="AA22" s="140">
        <f t="shared" si="9"/>
        <v>448205.67</v>
      </c>
      <c r="AB22" s="140">
        <f t="shared" si="9"/>
        <v>487339.83</v>
      </c>
      <c r="AC22" s="140">
        <f t="shared" si="9"/>
        <v>533906.63</v>
      </c>
      <c r="AD22" s="140">
        <f t="shared" si="9"/>
        <v>577445.49</v>
      </c>
    </row>
    <row r="23" spans="1:30" ht="6" customHeight="1" x14ac:dyDescent="0.25">
      <c r="A23" s="106">
        <v>18</v>
      </c>
      <c r="S23" s="137"/>
      <c r="T23" s="137"/>
      <c r="U23" s="137"/>
      <c r="V23" s="137"/>
      <c r="W23" s="137"/>
      <c r="X23" s="137"/>
      <c r="Y23" s="137"/>
      <c r="Z23" s="137"/>
      <c r="AA23" s="137"/>
      <c r="AB23" s="137"/>
      <c r="AC23" s="137"/>
      <c r="AD23" s="137"/>
    </row>
    <row r="24" spans="1:30" ht="18.75" x14ac:dyDescent="0.25">
      <c r="A24" s="106">
        <v>19</v>
      </c>
      <c r="B24" s="11" t="s">
        <v>15</v>
      </c>
      <c r="S24" s="137"/>
      <c r="T24" s="137"/>
      <c r="U24" s="137"/>
      <c r="V24" s="137"/>
      <c r="W24" s="137"/>
      <c r="X24" s="137"/>
      <c r="Y24" s="137"/>
      <c r="Z24" s="137"/>
      <c r="AA24" s="137"/>
      <c r="AB24" s="137"/>
      <c r="AC24" s="137"/>
      <c r="AD24" s="137"/>
    </row>
    <row r="25" spans="1:30" ht="18.75" x14ac:dyDescent="0.25">
      <c r="A25" s="106">
        <v>20</v>
      </c>
      <c r="B25" s="11" t="s">
        <v>137</v>
      </c>
      <c r="S25" s="137"/>
      <c r="T25" s="137"/>
      <c r="U25" s="137"/>
      <c r="V25" s="137"/>
      <c r="W25" s="137"/>
      <c r="X25" s="137"/>
      <c r="Y25" s="137"/>
      <c r="Z25" s="137"/>
      <c r="AA25" s="137"/>
      <c r="AB25" s="137"/>
      <c r="AC25" s="137"/>
      <c r="AD25" s="137"/>
    </row>
    <row r="26" spans="1:30" x14ac:dyDescent="0.25">
      <c r="A26" s="106">
        <v>21</v>
      </c>
      <c r="C26" s="1" t="s">
        <v>17</v>
      </c>
      <c r="S26" s="137"/>
      <c r="T26" s="137"/>
      <c r="U26" s="137"/>
      <c r="V26" s="137"/>
      <c r="W26" s="137"/>
      <c r="X26" s="137"/>
      <c r="Y26" s="137"/>
      <c r="Z26" s="137"/>
      <c r="AA26" s="137"/>
      <c r="AB26" s="137"/>
      <c r="AC26" s="137"/>
      <c r="AD26" s="137"/>
    </row>
    <row r="27" spans="1:30" x14ac:dyDescent="0.25">
      <c r="A27" s="106">
        <v>22</v>
      </c>
      <c r="C27" s="1" t="s">
        <v>16</v>
      </c>
      <c r="F27" s="71"/>
      <c r="G27" s="71"/>
      <c r="H27" s="71"/>
      <c r="I27" s="71"/>
      <c r="J27" s="71"/>
      <c r="K27" s="71"/>
      <c r="L27" s="71"/>
      <c r="M27" s="71"/>
      <c r="N27" s="71"/>
      <c r="O27" s="71"/>
      <c r="P27" s="71"/>
      <c r="Q27" s="71"/>
      <c r="R27" s="71"/>
      <c r="S27" s="138"/>
      <c r="T27" s="138"/>
      <c r="U27" s="138"/>
      <c r="V27" s="138"/>
      <c r="W27" s="138"/>
      <c r="X27" s="138"/>
      <c r="Y27" s="138"/>
      <c r="Z27" s="138"/>
      <c r="AA27" s="138"/>
      <c r="AB27" s="138"/>
      <c r="AC27" s="138"/>
      <c r="AD27" s="138"/>
    </row>
    <row r="28" spans="1:30" x14ac:dyDescent="0.25">
      <c r="A28" s="106">
        <v>23</v>
      </c>
      <c r="C28" s="1" t="s">
        <v>18</v>
      </c>
      <c r="F28" s="71"/>
      <c r="G28" s="71"/>
      <c r="H28" s="71"/>
      <c r="I28" s="71"/>
      <c r="J28" s="71"/>
      <c r="K28" s="71"/>
      <c r="L28" s="71"/>
      <c r="M28" s="71"/>
      <c r="N28" s="71"/>
      <c r="O28" s="71"/>
      <c r="P28" s="71"/>
      <c r="Q28" s="71"/>
      <c r="R28" s="71"/>
      <c r="S28" s="138"/>
      <c r="T28" s="138"/>
      <c r="U28" s="138"/>
      <c r="V28" s="138"/>
      <c r="W28" s="138"/>
      <c r="X28" s="138"/>
      <c r="Y28" s="138"/>
      <c r="Z28" s="138"/>
      <c r="AA28" s="138"/>
      <c r="AB28" s="138"/>
      <c r="AC28" s="138"/>
      <c r="AD28" s="138"/>
    </row>
    <row r="29" spans="1:30" x14ac:dyDescent="0.25">
      <c r="A29" s="106">
        <v>24</v>
      </c>
      <c r="C29" s="1" t="s">
        <v>19</v>
      </c>
      <c r="F29" s="71"/>
      <c r="G29" s="71"/>
      <c r="H29" s="71"/>
      <c r="I29" s="71"/>
      <c r="J29" s="71"/>
      <c r="K29" s="71"/>
      <c r="L29" s="71"/>
      <c r="M29" s="71"/>
      <c r="N29" s="71"/>
      <c r="O29" s="71"/>
      <c r="P29" s="71"/>
      <c r="Q29" s="71"/>
      <c r="R29" s="71"/>
      <c r="S29" s="138"/>
      <c r="T29" s="138"/>
      <c r="U29" s="138"/>
      <c r="V29" s="138"/>
      <c r="W29" s="138"/>
      <c r="X29" s="138"/>
      <c r="Y29" s="138"/>
      <c r="Z29" s="138"/>
      <c r="AA29" s="138"/>
      <c r="AB29" s="138"/>
      <c r="AC29" s="138"/>
      <c r="AD29" s="138"/>
    </row>
    <row r="30" spans="1:30" x14ac:dyDescent="0.25">
      <c r="A30" s="106">
        <v>25</v>
      </c>
      <c r="C30" s="1" t="s">
        <v>17</v>
      </c>
      <c r="S30" s="137"/>
      <c r="T30" s="137"/>
      <c r="U30" s="137"/>
      <c r="V30" s="137"/>
      <c r="W30" s="137"/>
      <c r="X30" s="137"/>
      <c r="Y30" s="137"/>
      <c r="Z30" s="137"/>
      <c r="AA30" s="137"/>
      <c r="AB30" s="137"/>
      <c r="AC30" s="137"/>
      <c r="AD30" s="137"/>
    </row>
    <row r="31" spans="1:30" s="5" customFormat="1" x14ac:dyDescent="0.25">
      <c r="A31" s="106">
        <v>26</v>
      </c>
      <c r="B31" s="18"/>
      <c r="C31" s="19" t="s">
        <v>138</v>
      </c>
      <c r="D31" s="18"/>
      <c r="E31" s="91"/>
      <c r="F31" s="84">
        <v>2708.33</v>
      </c>
      <c r="G31" s="84">
        <v>2708.33</v>
      </c>
      <c r="H31" s="84">
        <v>7020.83</v>
      </c>
      <c r="I31" s="84">
        <v>2708.33</v>
      </c>
      <c r="J31" s="84">
        <v>2708.33</v>
      </c>
      <c r="K31" s="84">
        <v>4195.83</v>
      </c>
      <c r="L31" s="84">
        <v>2848.33</v>
      </c>
      <c r="M31" s="84">
        <v>5583.33</v>
      </c>
      <c r="N31" s="84">
        <v>7220.83</v>
      </c>
      <c r="O31" s="84">
        <v>2708.33</v>
      </c>
      <c r="P31" s="84">
        <v>2708.33</v>
      </c>
      <c r="Q31" s="84">
        <v>0</v>
      </c>
      <c r="R31" s="73">
        <f t="shared" ref="R31" si="10">SUM(F31:Q31)</f>
        <v>43119.130000000012</v>
      </c>
      <c r="S31" s="143">
        <f>SUM(F31)</f>
        <v>2708.33</v>
      </c>
      <c r="T31" s="143">
        <f>SUM($F31:G31)</f>
        <v>5416.66</v>
      </c>
      <c r="U31" s="143">
        <f>SUM($F31:H31)</f>
        <v>12437.49</v>
      </c>
      <c r="V31" s="143">
        <f>SUM($F31:I31)</f>
        <v>15145.82</v>
      </c>
      <c r="W31" s="143">
        <f>SUM($F31:J31)</f>
        <v>17854.150000000001</v>
      </c>
      <c r="X31" s="143">
        <f>SUM($F31:K31)</f>
        <v>22049.980000000003</v>
      </c>
      <c r="Y31" s="143">
        <f>SUM($F31:L31)</f>
        <v>24898.310000000005</v>
      </c>
      <c r="Z31" s="143">
        <f>SUM($F31:M31)</f>
        <v>30481.640000000007</v>
      </c>
      <c r="AA31" s="143">
        <f>SUM($F31:N31)</f>
        <v>37702.470000000008</v>
      </c>
      <c r="AB31" s="143">
        <f>SUM($F31:O31)</f>
        <v>40410.80000000001</v>
      </c>
      <c r="AC31" s="143">
        <f>SUM($F31:P31)</f>
        <v>43119.130000000012</v>
      </c>
      <c r="AD31" s="143">
        <f>SUM($F31:Q31)</f>
        <v>43119.130000000012</v>
      </c>
    </row>
    <row r="32" spans="1:30"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c r="F35" s="71">
        <v>0</v>
      </c>
      <c r="G35" s="71">
        <v>544.45000000000005</v>
      </c>
      <c r="H35" s="71">
        <v>642.64</v>
      </c>
      <c r="I35" s="71">
        <v>234.3</v>
      </c>
      <c r="J35" s="71">
        <v>595.52</v>
      </c>
      <c r="K35" s="71">
        <v>425.46</v>
      </c>
      <c r="L35" s="71">
        <v>294.37</v>
      </c>
      <c r="M35" s="71">
        <v>0</v>
      </c>
      <c r="N35" s="71">
        <v>656.76</v>
      </c>
      <c r="O35" s="71">
        <v>299.69</v>
      </c>
      <c r="P35" s="71">
        <v>588.39</v>
      </c>
      <c r="Q35" s="71">
        <v>329.95</v>
      </c>
      <c r="R35" s="79">
        <f t="shared" ref="R35:R40" si="11">SUM(F35:Q35)</f>
        <v>4611.53</v>
      </c>
      <c r="S35" s="139">
        <f t="shared" ref="S35:S40" si="12">SUM(F35)</f>
        <v>0</v>
      </c>
      <c r="T35" s="139">
        <f>SUM($F35:G35)</f>
        <v>544.45000000000005</v>
      </c>
      <c r="U35" s="139">
        <f>SUM($F35:H35)</f>
        <v>1187.0900000000001</v>
      </c>
      <c r="V35" s="139">
        <f>SUM($F35:I35)</f>
        <v>1421.39</v>
      </c>
      <c r="W35" s="139">
        <f>SUM($F35:J35)</f>
        <v>2016.91</v>
      </c>
      <c r="X35" s="139">
        <f>SUM($F35:K35)</f>
        <v>2442.37</v>
      </c>
      <c r="Y35" s="139">
        <f>SUM($F35:L35)</f>
        <v>2736.74</v>
      </c>
      <c r="Z35" s="139">
        <f>SUM($F35:M35)</f>
        <v>2736.74</v>
      </c>
      <c r="AA35" s="139">
        <f>SUM($F35:N35)</f>
        <v>3393.5</v>
      </c>
      <c r="AB35" s="139">
        <f>SUM($F35:O35)</f>
        <v>3693.19</v>
      </c>
      <c r="AC35" s="139">
        <f>SUM($F35:P35)</f>
        <v>4281.58</v>
      </c>
      <c r="AD35" s="139">
        <f>SUM($F35:Q35)</f>
        <v>4611.53</v>
      </c>
    </row>
    <row r="36" spans="1:30" x14ac:dyDescent="0.25">
      <c r="A36" s="106">
        <v>31</v>
      </c>
      <c r="C36" s="1" t="s">
        <v>21</v>
      </c>
      <c r="E36" s="101"/>
      <c r="F36" s="71">
        <v>0</v>
      </c>
      <c r="G36" s="71">
        <v>0</v>
      </c>
      <c r="H36" s="71">
        <v>152.57</v>
      </c>
      <c r="I36" s="71">
        <v>0</v>
      </c>
      <c r="J36" s="71">
        <v>0</v>
      </c>
      <c r="K36" s="71">
        <v>0</v>
      </c>
      <c r="L36" s="71">
        <v>0</v>
      </c>
      <c r="M36" s="71">
        <v>0</v>
      </c>
      <c r="N36" s="71">
        <v>17.649999999999999</v>
      </c>
      <c r="O36" s="71">
        <v>426.19</v>
      </c>
      <c r="P36" s="71">
        <v>791.29</v>
      </c>
      <c r="Q36" s="71">
        <v>0</v>
      </c>
      <c r="R36" s="79">
        <f t="shared" si="11"/>
        <v>1387.6999999999998</v>
      </c>
      <c r="S36" s="139">
        <f t="shared" si="12"/>
        <v>0</v>
      </c>
      <c r="T36" s="139">
        <f>SUM($F36:G36)</f>
        <v>0</v>
      </c>
      <c r="U36" s="139">
        <f>SUM($F36:H36)</f>
        <v>152.57</v>
      </c>
      <c r="V36" s="139">
        <f>SUM($F36:I36)</f>
        <v>152.57</v>
      </c>
      <c r="W36" s="139">
        <f>SUM($F36:J36)</f>
        <v>152.57</v>
      </c>
      <c r="X36" s="139">
        <f>SUM($F36:K36)</f>
        <v>152.57</v>
      </c>
      <c r="Y36" s="139">
        <f>SUM($F36:L36)</f>
        <v>152.57</v>
      </c>
      <c r="Z36" s="139">
        <f>SUM($F36:M36)</f>
        <v>152.57</v>
      </c>
      <c r="AA36" s="139">
        <f>SUM($F36:N36)</f>
        <v>170.22</v>
      </c>
      <c r="AB36" s="139">
        <f>SUM($F36:O36)</f>
        <v>596.41</v>
      </c>
      <c r="AC36" s="139">
        <f>SUM($F36:P36)</f>
        <v>1387.6999999999998</v>
      </c>
      <c r="AD36" s="139">
        <f>SUM($F36:Q36)</f>
        <v>1387.6999999999998</v>
      </c>
    </row>
    <row r="37" spans="1:30" x14ac:dyDescent="0.25">
      <c r="A37" s="106">
        <v>32</v>
      </c>
      <c r="C37" s="1" t="s">
        <v>22</v>
      </c>
      <c r="E37" s="100"/>
      <c r="F37" s="71">
        <v>0</v>
      </c>
      <c r="G37" s="71">
        <v>0</v>
      </c>
      <c r="H37" s="71">
        <v>0</v>
      </c>
      <c r="I37" s="71">
        <v>0</v>
      </c>
      <c r="J37" s="71">
        <v>0</v>
      </c>
      <c r="K37" s="71">
        <v>0</v>
      </c>
      <c r="L37" s="71">
        <v>221.94</v>
      </c>
      <c r="M37" s="71">
        <v>500</v>
      </c>
      <c r="N37" s="71">
        <v>0</v>
      </c>
      <c r="O37" s="71">
        <v>0</v>
      </c>
      <c r="P37" s="71">
        <v>0</v>
      </c>
      <c r="Q37" s="71">
        <v>0</v>
      </c>
      <c r="R37" s="79">
        <f t="shared" si="11"/>
        <v>721.94</v>
      </c>
      <c r="S37" s="139">
        <f t="shared" si="12"/>
        <v>0</v>
      </c>
      <c r="T37" s="139">
        <f>SUM($F37:G37)</f>
        <v>0</v>
      </c>
      <c r="U37" s="139">
        <f>SUM($F37:H37)</f>
        <v>0</v>
      </c>
      <c r="V37" s="139">
        <f>SUM($F37:I37)</f>
        <v>0</v>
      </c>
      <c r="W37" s="139">
        <f>SUM($F37:J37)</f>
        <v>0</v>
      </c>
      <c r="X37" s="139">
        <f>SUM($F37:K37)</f>
        <v>0</v>
      </c>
      <c r="Y37" s="139">
        <f>SUM($F37:L37)</f>
        <v>221.94</v>
      </c>
      <c r="Z37" s="139">
        <f>SUM($F37:M37)</f>
        <v>721.94</v>
      </c>
      <c r="AA37" s="139">
        <f>SUM($F37:N37)</f>
        <v>721.94</v>
      </c>
      <c r="AB37" s="139">
        <f>SUM($F37:O37)</f>
        <v>721.94</v>
      </c>
      <c r="AC37" s="139">
        <f>SUM($F37:P37)</f>
        <v>721.94</v>
      </c>
      <c r="AD37" s="139">
        <f>SUM($F37:Q37)</f>
        <v>721.94</v>
      </c>
    </row>
    <row r="38" spans="1:30" x14ac:dyDescent="0.25">
      <c r="A38" s="106">
        <v>33</v>
      </c>
      <c r="C38" s="1" t="s">
        <v>23</v>
      </c>
      <c r="E38" s="101"/>
      <c r="F38" s="71">
        <v>0</v>
      </c>
      <c r="G38" s="71">
        <v>0</v>
      </c>
      <c r="H38" s="71">
        <v>0</v>
      </c>
      <c r="I38" s="71">
        <v>0</v>
      </c>
      <c r="J38" s="71">
        <v>0</v>
      </c>
      <c r="K38" s="71">
        <v>0</v>
      </c>
      <c r="L38" s="71">
        <v>0</v>
      </c>
      <c r="M38" s="71">
        <v>0</v>
      </c>
      <c r="N38" s="71">
        <v>0</v>
      </c>
      <c r="O38" s="71">
        <v>0</v>
      </c>
      <c r="P38" s="71">
        <v>0</v>
      </c>
      <c r="Q38" s="71">
        <v>665.4</v>
      </c>
      <c r="R38" s="79">
        <f t="shared" si="11"/>
        <v>665.4</v>
      </c>
      <c r="S38" s="139">
        <f t="shared" si="12"/>
        <v>0</v>
      </c>
      <c r="T38" s="139">
        <f>SUM($F38:G38)</f>
        <v>0</v>
      </c>
      <c r="U38" s="139">
        <f>SUM($F38:H38)</f>
        <v>0</v>
      </c>
      <c r="V38" s="139">
        <f>SUM($F38:I38)</f>
        <v>0</v>
      </c>
      <c r="W38" s="139">
        <f>SUM($F38:J38)</f>
        <v>0</v>
      </c>
      <c r="X38" s="139">
        <f>SUM($F38:K38)</f>
        <v>0</v>
      </c>
      <c r="Y38" s="139">
        <f>SUM($F38:L38)</f>
        <v>0</v>
      </c>
      <c r="Z38" s="139">
        <f>SUM($F38:M38)</f>
        <v>0</v>
      </c>
      <c r="AA38" s="139">
        <f>SUM($F38:N38)</f>
        <v>0</v>
      </c>
      <c r="AB38" s="139">
        <f>SUM($F38:O38)</f>
        <v>0</v>
      </c>
      <c r="AC38" s="139">
        <f>SUM($F38:P38)</f>
        <v>0</v>
      </c>
      <c r="AD38" s="139">
        <f>SUM($F38:Q38)</f>
        <v>665.4</v>
      </c>
    </row>
    <row r="39" spans="1:30" x14ac:dyDescent="0.25">
      <c r="A39" s="106">
        <v>34</v>
      </c>
      <c r="C39" s="1" t="s">
        <v>24</v>
      </c>
      <c r="E39" s="100"/>
      <c r="F39" s="71">
        <v>0</v>
      </c>
      <c r="G39" s="71">
        <v>0</v>
      </c>
      <c r="H39" s="71">
        <v>0</v>
      </c>
      <c r="I39" s="71">
        <v>88.37</v>
      </c>
      <c r="J39" s="71">
        <v>0</v>
      </c>
      <c r="K39" s="71">
        <v>54.4</v>
      </c>
      <c r="L39" s="71">
        <v>0</v>
      </c>
      <c r="M39" s="71">
        <v>0</v>
      </c>
      <c r="N39" s="71">
        <v>0</v>
      </c>
      <c r="O39" s="71">
        <v>0</v>
      </c>
      <c r="P39" s="71">
        <v>0</v>
      </c>
      <c r="Q39" s="71">
        <v>0</v>
      </c>
      <c r="R39" s="79">
        <f t="shared" si="11"/>
        <v>142.77000000000001</v>
      </c>
      <c r="S39" s="139">
        <f t="shared" si="12"/>
        <v>0</v>
      </c>
      <c r="T39" s="139">
        <f>SUM($F39:G39)</f>
        <v>0</v>
      </c>
      <c r="U39" s="139">
        <f>SUM($F39:H39)</f>
        <v>0</v>
      </c>
      <c r="V39" s="139">
        <f>SUM($F39:I39)</f>
        <v>88.37</v>
      </c>
      <c r="W39" s="139">
        <f>SUM($F39:J39)</f>
        <v>88.37</v>
      </c>
      <c r="X39" s="139">
        <f>SUM($F39:K39)</f>
        <v>142.77000000000001</v>
      </c>
      <c r="Y39" s="139">
        <f>SUM($F39:L39)</f>
        <v>142.77000000000001</v>
      </c>
      <c r="Z39" s="139">
        <f>SUM($F39:M39)</f>
        <v>142.77000000000001</v>
      </c>
      <c r="AA39" s="139">
        <f>SUM($F39:N39)</f>
        <v>142.77000000000001</v>
      </c>
      <c r="AB39" s="139">
        <f>SUM($F39:O39)</f>
        <v>142.77000000000001</v>
      </c>
      <c r="AC39" s="139">
        <f>SUM($F39:P39)</f>
        <v>142.77000000000001</v>
      </c>
      <c r="AD39" s="139">
        <f>SUM($F39:Q39)</f>
        <v>142.77000000000001</v>
      </c>
    </row>
    <row r="40" spans="1:30" x14ac:dyDescent="0.25">
      <c r="A40" s="106">
        <v>35</v>
      </c>
      <c r="C40" s="1" t="s">
        <v>124</v>
      </c>
      <c r="E40" s="101"/>
      <c r="F40" s="71">
        <v>0</v>
      </c>
      <c r="G40" s="71">
        <v>0</v>
      </c>
      <c r="H40" s="71">
        <v>0</v>
      </c>
      <c r="I40" s="71">
        <v>570.63</v>
      </c>
      <c r="J40" s="71">
        <v>0</v>
      </c>
      <c r="K40" s="71">
        <v>0</v>
      </c>
      <c r="L40" s="71">
        <v>0</v>
      </c>
      <c r="M40" s="71">
        <v>0</v>
      </c>
      <c r="N40" s="71">
        <v>0</v>
      </c>
      <c r="O40" s="71">
        <v>296.24</v>
      </c>
      <c r="P40" s="71">
        <v>0</v>
      </c>
      <c r="Q40" s="71">
        <v>0</v>
      </c>
      <c r="R40" s="79">
        <f t="shared" si="11"/>
        <v>866.87</v>
      </c>
      <c r="S40" s="139">
        <f t="shared" si="12"/>
        <v>0</v>
      </c>
      <c r="T40" s="139">
        <f>SUM($F40:G40)</f>
        <v>0</v>
      </c>
      <c r="U40" s="139">
        <f>SUM($F40:H40)</f>
        <v>0</v>
      </c>
      <c r="V40" s="139">
        <f>SUM($F40:I40)</f>
        <v>570.63</v>
      </c>
      <c r="W40" s="139">
        <f>SUM($F40:J40)</f>
        <v>570.63</v>
      </c>
      <c r="X40" s="139">
        <f>SUM($F40:K40)</f>
        <v>570.63</v>
      </c>
      <c r="Y40" s="139">
        <f>SUM($F40:L40)</f>
        <v>570.63</v>
      </c>
      <c r="Z40" s="139">
        <f>SUM($F40:M40)</f>
        <v>570.63</v>
      </c>
      <c r="AA40" s="139">
        <f>SUM($F40:N40)</f>
        <v>570.63</v>
      </c>
      <c r="AB40" s="139">
        <f>SUM($F40:O40)</f>
        <v>866.87</v>
      </c>
      <c r="AC40" s="139">
        <f>SUM($F40:P40)</f>
        <v>866.87</v>
      </c>
      <c r="AD40" s="139">
        <f>SUM($F40:Q40)</f>
        <v>866.87</v>
      </c>
    </row>
    <row r="41" spans="1:30" s="5" customFormat="1" x14ac:dyDescent="0.25">
      <c r="A41" s="106">
        <v>36</v>
      </c>
      <c r="B41" s="51" t="s">
        <v>25</v>
      </c>
      <c r="C41" s="51"/>
      <c r="D41" s="51"/>
      <c r="E41" s="93"/>
      <c r="F41" s="75">
        <f t="shared" ref="F41:Q41" si="13">SUM(F35:F40)</f>
        <v>0</v>
      </c>
      <c r="G41" s="75">
        <f t="shared" si="13"/>
        <v>544.45000000000005</v>
      </c>
      <c r="H41" s="75">
        <f t="shared" si="13"/>
        <v>795.21</v>
      </c>
      <c r="I41" s="75">
        <f t="shared" si="13"/>
        <v>893.3</v>
      </c>
      <c r="J41" s="75">
        <f t="shared" si="13"/>
        <v>595.52</v>
      </c>
      <c r="K41" s="75">
        <f t="shared" si="13"/>
        <v>479.85999999999996</v>
      </c>
      <c r="L41" s="75">
        <f t="shared" si="13"/>
        <v>516.30999999999995</v>
      </c>
      <c r="M41" s="75">
        <f t="shared" si="13"/>
        <v>500</v>
      </c>
      <c r="N41" s="75">
        <f t="shared" si="13"/>
        <v>674.41</v>
      </c>
      <c r="O41" s="75">
        <f t="shared" si="13"/>
        <v>1022.12</v>
      </c>
      <c r="P41" s="75">
        <f t="shared" si="13"/>
        <v>1379.6799999999998</v>
      </c>
      <c r="Q41" s="75">
        <f t="shared" si="13"/>
        <v>995.34999999999991</v>
      </c>
      <c r="R41" s="75">
        <f>SUM(R35:R40)</f>
        <v>8396.2100000000009</v>
      </c>
      <c r="S41" s="145">
        <f t="shared" ref="S41:AD41" si="14">SUM(S35:S40)</f>
        <v>0</v>
      </c>
      <c r="T41" s="145">
        <f t="shared" si="14"/>
        <v>544.45000000000005</v>
      </c>
      <c r="U41" s="145">
        <f t="shared" si="14"/>
        <v>1339.66</v>
      </c>
      <c r="V41" s="145">
        <f t="shared" si="14"/>
        <v>2232.96</v>
      </c>
      <c r="W41" s="145">
        <f t="shared" si="14"/>
        <v>2828.48</v>
      </c>
      <c r="X41" s="145">
        <f t="shared" si="14"/>
        <v>3308.34</v>
      </c>
      <c r="Y41" s="145">
        <f t="shared" si="14"/>
        <v>3824.65</v>
      </c>
      <c r="Z41" s="145">
        <f t="shared" si="14"/>
        <v>4324.6499999999996</v>
      </c>
      <c r="AA41" s="145">
        <f t="shared" si="14"/>
        <v>4999.0600000000004</v>
      </c>
      <c r="AB41" s="145">
        <f t="shared" si="14"/>
        <v>6021.1800000000012</v>
      </c>
      <c r="AC41" s="145">
        <f t="shared" si="14"/>
        <v>7400.86</v>
      </c>
      <c r="AD41" s="145">
        <f t="shared" si="14"/>
        <v>8396.2100000000009</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c r="F43" s="77">
        <v>146.66999999999999</v>
      </c>
      <c r="G43" s="77">
        <v>319.43</v>
      </c>
      <c r="H43" s="77">
        <v>26.69</v>
      </c>
      <c r="I43" s="77">
        <v>0</v>
      </c>
      <c r="J43" s="77">
        <v>148.38</v>
      </c>
      <c r="K43" s="77">
        <v>13.85</v>
      </c>
      <c r="L43" s="77">
        <v>5.75</v>
      </c>
      <c r="M43" s="77">
        <v>57.06</v>
      </c>
      <c r="N43" s="77">
        <v>15</v>
      </c>
      <c r="O43" s="77">
        <v>121.05</v>
      </c>
      <c r="P43" s="77">
        <v>521.49</v>
      </c>
      <c r="Q43" s="77">
        <v>75.53</v>
      </c>
      <c r="R43" s="86">
        <f t="shared" ref="R43" si="15">SUM(F43:Q43)</f>
        <v>1450.9</v>
      </c>
      <c r="S43" s="147">
        <f t="shared" ref="S43" si="16">SUM(F43)</f>
        <v>146.66999999999999</v>
      </c>
      <c r="T43" s="147">
        <f>SUM($F43:G43)</f>
        <v>466.1</v>
      </c>
      <c r="U43" s="147">
        <f>SUM($F43:H43)</f>
        <v>492.79</v>
      </c>
      <c r="V43" s="147">
        <f>SUM($F43:I43)</f>
        <v>492.79</v>
      </c>
      <c r="W43" s="147">
        <f>SUM($F43:J43)</f>
        <v>641.17000000000007</v>
      </c>
      <c r="X43" s="147">
        <f>SUM($F43:K43)</f>
        <v>655.0200000000001</v>
      </c>
      <c r="Y43" s="147">
        <f>SUM($F43:L43)</f>
        <v>660.7700000000001</v>
      </c>
      <c r="Z43" s="147">
        <f>SUM($F43:M43)</f>
        <v>717.83000000000015</v>
      </c>
      <c r="AA43" s="147">
        <f>SUM($F43:N43)</f>
        <v>732.83000000000015</v>
      </c>
      <c r="AB43" s="147">
        <f>SUM($F43:O43)</f>
        <v>853.88000000000011</v>
      </c>
      <c r="AC43" s="147">
        <f>SUM($F43:P43)</f>
        <v>1375.3700000000001</v>
      </c>
      <c r="AD43" s="147">
        <f>SUM($F43:Q43)</f>
        <v>1450.9</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c r="F46" s="71">
        <v>206.99</v>
      </c>
      <c r="G46" s="71">
        <v>452.8</v>
      </c>
      <c r="H46" s="71">
        <v>961.45</v>
      </c>
      <c r="I46" s="71">
        <v>722.63</v>
      </c>
      <c r="J46" s="71">
        <v>714.83</v>
      </c>
      <c r="K46" s="71">
        <v>1086.73</v>
      </c>
      <c r="L46" s="71">
        <v>266.04000000000002</v>
      </c>
      <c r="M46" s="71">
        <v>568.62</v>
      </c>
      <c r="N46" s="71">
        <v>363.99</v>
      </c>
      <c r="O46" s="71">
        <v>556.52</v>
      </c>
      <c r="P46" s="71">
        <v>534.39</v>
      </c>
      <c r="Q46" s="71">
        <v>343.84</v>
      </c>
      <c r="R46" s="79">
        <f t="shared" ref="R46:R49" si="17">SUM(F46:Q46)</f>
        <v>6778.8300000000008</v>
      </c>
      <c r="S46" s="139">
        <f t="shared" ref="S46:S49" si="18">SUM(F46)</f>
        <v>206.99</v>
      </c>
      <c r="T46" s="139">
        <f>SUM($F46:G46)</f>
        <v>659.79</v>
      </c>
      <c r="U46" s="139">
        <f>SUM($F46:H46)</f>
        <v>1621.24</v>
      </c>
      <c r="V46" s="139">
        <f>SUM($F46:I46)</f>
        <v>2343.87</v>
      </c>
      <c r="W46" s="139">
        <f>SUM($F46:J46)</f>
        <v>3058.7</v>
      </c>
      <c r="X46" s="139">
        <f>SUM($F46:K46)</f>
        <v>4145.43</v>
      </c>
      <c r="Y46" s="139">
        <f>SUM($F46:L46)</f>
        <v>4411.47</v>
      </c>
      <c r="Z46" s="139">
        <f>SUM($F46:M46)</f>
        <v>4980.09</v>
      </c>
      <c r="AA46" s="139">
        <f>SUM($F46:N46)</f>
        <v>5344.08</v>
      </c>
      <c r="AB46" s="139">
        <f>SUM($F46:O46)</f>
        <v>5900.6</v>
      </c>
      <c r="AC46" s="139">
        <f>SUM($F46:P46)</f>
        <v>6434.9900000000007</v>
      </c>
      <c r="AD46" s="139">
        <f>SUM($F46:Q46)</f>
        <v>6778.8300000000008</v>
      </c>
    </row>
    <row r="47" spans="1:30" x14ac:dyDescent="0.25">
      <c r="A47" s="106">
        <v>42</v>
      </c>
      <c r="C47" s="1" t="s">
        <v>30</v>
      </c>
      <c r="E47" s="101"/>
      <c r="F47" s="71">
        <v>0</v>
      </c>
      <c r="G47" s="71">
        <v>0</v>
      </c>
      <c r="H47" s="71">
        <v>0</v>
      </c>
      <c r="I47" s="71">
        <v>0</v>
      </c>
      <c r="J47" s="71">
        <v>0</v>
      </c>
      <c r="K47" s="71">
        <v>0</v>
      </c>
      <c r="L47" s="71">
        <v>0</v>
      </c>
      <c r="M47" s="71">
        <v>0</v>
      </c>
      <c r="N47" s="71">
        <v>0</v>
      </c>
      <c r="O47" s="71">
        <v>0</v>
      </c>
      <c r="P47" s="71">
        <v>0</v>
      </c>
      <c r="Q47" s="71">
        <v>0</v>
      </c>
      <c r="R47" s="79">
        <f t="shared" si="17"/>
        <v>0</v>
      </c>
      <c r="S47" s="139">
        <f t="shared" si="18"/>
        <v>0</v>
      </c>
      <c r="T47" s="139">
        <f>SUM($F47:G47)</f>
        <v>0</v>
      </c>
      <c r="U47" s="139">
        <f>SUM($F47:H47)</f>
        <v>0</v>
      </c>
      <c r="V47" s="139">
        <f>SUM($F47:I47)</f>
        <v>0</v>
      </c>
      <c r="W47" s="139">
        <f>SUM($F47:J47)</f>
        <v>0</v>
      </c>
      <c r="X47" s="139">
        <f>SUM($F47:K47)</f>
        <v>0</v>
      </c>
      <c r="Y47" s="139">
        <f>SUM($F47:L47)</f>
        <v>0</v>
      </c>
      <c r="Z47" s="139">
        <f>SUM($F47:M47)</f>
        <v>0</v>
      </c>
      <c r="AA47" s="139">
        <f>SUM($F47:N47)</f>
        <v>0</v>
      </c>
      <c r="AB47" s="139">
        <f>SUM($F47:O47)</f>
        <v>0</v>
      </c>
      <c r="AC47" s="139">
        <f>SUM($F47:P47)</f>
        <v>0</v>
      </c>
      <c r="AD47" s="139">
        <f>SUM($F47:Q47)</f>
        <v>0</v>
      </c>
    </row>
    <row r="48" spans="1:30" x14ac:dyDescent="0.25">
      <c r="A48" s="106">
        <v>43</v>
      </c>
      <c r="C48" s="1" t="s">
        <v>31</v>
      </c>
      <c r="E48" s="101"/>
      <c r="F48" s="71">
        <v>0</v>
      </c>
      <c r="G48" s="71">
        <v>0</v>
      </c>
      <c r="H48" s="71">
        <v>0</v>
      </c>
      <c r="I48" s="71">
        <v>0</v>
      </c>
      <c r="J48" s="71">
        <v>0</v>
      </c>
      <c r="K48" s="71">
        <v>0</v>
      </c>
      <c r="L48" s="71">
        <v>0</v>
      </c>
      <c r="M48" s="71">
        <v>0</v>
      </c>
      <c r="N48" s="71">
        <v>0</v>
      </c>
      <c r="O48" s="71">
        <v>0</v>
      </c>
      <c r="P48" s="71">
        <v>0</v>
      </c>
      <c r="Q48" s="71">
        <v>0</v>
      </c>
      <c r="R48" s="79">
        <f t="shared" si="17"/>
        <v>0</v>
      </c>
      <c r="S48" s="139">
        <f t="shared" si="18"/>
        <v>0</v>
      </c>
      <c r="T48" s="139">
        <f>SUM($F48:G48)</f>
        <v>0</v>
      </c>
      <c r="U48" s="139">
        <f>SUM($F48:H48)</f>
        <v>0</v>
      </c>
      <c r="V48" s="139">
        <f>SUM($F48:I48)</f>
        <v>0</v>
      </c>
      <c r="W48" s="139">
        <f>SUM($F48:J48)</f>
        <v>0</v>
      </c>
      <c r="X48" s="139">
        <f>SUM($F48:K48)</f>
        <v>0</v>
      </c>
      <c r="Y48" s="139">
        <f>SUM($F48:L48)</f>
        <v>0</v>
      </c>
      <c r="Z48" s="139">
        <f>SUM($F48:M48)</f>
        <v>0</v>
      </c>
      <c r="AA48" s="139">
        <f>SUM($F48:N48)</f>
        <v>0</v>
      </c>
      <c r="AB48" s="139">
        <f>SUM($F48:O48)</f>
        <v>0</v>
      </c>
      <c r="AC48" s="139">
        <f>SUM($F48:P48)</f>
        <v>0</v>
      </c>
      <c r="AD48" s="139">
        <f>SUM($F48:Q48)</f>
        <v>0</v>
      </c>
    </row>
    <row r="49" spans="1:30" x14ac:dyDescent="0.25">
      <c r="A49" s="106">
        <v>44</v>
      </c>
      <c r="C49" s="1" t="s">
        <v>32</v>
      </c>
      <c r="E49" s="101"/>
      <c r="F49" s="71">
        <v>-112</v>
      </c>
      <c r="G49" s="71">
        <v>-52</v>
      </c>
      <c r="H49" s="71">
        <v>88</v>
      </c>
      <c r="I49" s="71">
        <v>27.49</v>
      </c>
      <c r="J49" s="71">
        <v>153.49</v>
      </c>
      <c r="K49" s="71">
        <v>263.95</v>
      </c>
      <c r="L49" s="71">
        <v>191.57</v>
      </c>
      <c r="M49" s="71">
        <v>84</v>
      </c>
      <c r="N49" s="71">
        <v>0</v>
      </c>
      <c r="O49" s="71">
        <v>290.5</v>
      </c>
      <c r="P49" s="71">
        <v>113</v>
      </c>
      <c r="Q49" s="71">
        <v>-56</v>
      </c>
      <c r="R49" s="79">
        <f t="shared" si="17"/>
        <v>992</v>
      </c>
      <c r="S49" s="139">
        <f t="shared" si="18"/>
        <v>-112</v>
      </c>
      <c r="T49" s="139">
        <f>SUM($F49:G49)</f>
        <v>-164</v>
      </c>
      <c r="U49" s="139">
        <f>SUM($F49:H49)</f>
        <v>-76</v>
      </c>
      <c r="V49" s="139">
        <f>SUM($F49:I49)</f>
        <v>-48.510000000000005</v>
      </c>
      <c r="W49" s="139">
        <f>SUM($F49:J49)</f>
        <v>104.98</v>
      </c>
      <c r="X49" s="139">
        <f>SUM($F49:K49)</f>
        <v>368.93</v>
      </c>
      <c r="Y49" s="139">
        <f>SUM($F49:L49)</f>
        <v>560.5</v>
      </c>
      <c r="Z49" s="139">
        <f>SUM($F49:M49)</f>
        <v>644.5</v>
      </c>
      <c r="AA49" s="139">
        <f>SUM($F49:N49)</f>
        <v>644.5</v>
      </c>
      <c r="AB49" s="139">
        <f>SUM($F49:O49)</f>
        <v>935</v>
      </c>
      <c r="AC49" s="139">
        <f>SUM($F49:P49)</f>
        <v>1048</v>
      </c>
      <c r="AD49" s="139">
        <f>SUM($F49:Q49)</f>
        <v>992</v>
      </c>
    </row>
    <row r="50" spans="1:30" s="5" customFormat="1" x14ac:dyDescent="0.25">
      <c r="A50" s="106">
        <v>45</v>
      </c>
      <c r="B50" s="51" t="s">
        <v>28</v>
      </c>
      <c r="C50" s="51"/>
      <c r="D50" s="51"/>
      <c r="E50" s="93"/>
      <c r="F50" s="75">
        <f t="shared" ref="F50:Q50" si="19">SUM(F46:F49)</f>
        <v>94.990000000000009</v>
      </c>
      <c r="G50" s="75">
        <f t="shared" si="19"/>
        <v>400.8</v>
      </c>
      <c r="H50" s="75">
        <f t="shared" si="19"/>
        <v>1049.45</v>
      </c>
      <c r="I50" s="75">
        <f t="shared" si="19"/>
        <v>750.12</v>
      </c>
      <c r="J50" s="75">
        <f t="shared" si="19"/>
        <v>868.32</v>
      </c>
      <c r="K50" s="75">
        <f t="shared" si="19"/>
        <v>1350.68</v>
      </c>
      <c r="L50" s="75">
        <f t="shared" si="19"/>
        <v>457.61</v>
      </c>
      <c r="M50" s="75">
        <f t="shared" si="19"/>
        <v>652.62</v>
      </c>
      <c r="N50" s="75">
        <f t="shared" si="19"/>
        <v>363.99</v>
      </c>
      <c r="O50" s="75">
        <f t="shared" si="19"/>
        <v>847.02</v>
      </c>
      <c r="P50" s="75">
        <f t="shared" si="19"/>
        <v>647.39</v>
      </c>
      <c r="Q50" s="75">
        <f t="shared" si="19"/>
        <v>287.83999999999997</v>
      </c>
      <c r="R50" s="75">
        <f>SUM(R46:R49)</f>
        <v>7770.8300000000008</v>
      </c>
      <c r="S50" s="145">
        <f t="shared" ref="S50:AD50" si="20">SUM(S46:S49)</f>
        <v>94.990000000000009</v>
      </c>
      <c r="T50" s="145">
        <f t="shared" si="20"/>
        <v>495.78999999999996</v>
      </c>
      <c r="U50" s="145">
        <f t="shared" si="20"/>
        <v>1545.24</v>
      </c>
      <c r="V50" s="145">
        <f t="shared" si="20"/>
        <v>2295.3599999999997</v>
      </c>
      <c r="W50" s="145">
        <f t="shared" si="20"/>
        <v>3163.68</v>
      </c>
      <c r="X50" s="145">
        <f t="shared" si="20"/>
        <v>4514.3600000000006</v>
      </c>
      <c r="Y50" s="145">
        <f t="shared" si="20"/>
        <v>4971.97</v>
      </c>
      <c r="Z50" s="145">
        <f t="shared" si="20"/>
        <v>5624.59</v>
      </c>
      <c r="AA50" s="145">
        <f t="shared" si="20"/>
        <v>5988.58</v>
      </c>
      <c r="AB50" s="145">
        <f t="shared" si="20"/>
        <v>6835.6</v>
      </c>
      <c r="AC50" s="145">
        <f t="shared" si="20"/>
        <v>7482.9900000000007</v>
      </c>
      <c r="AD50" s="145">
        <f t="shared" si="20"/>
        <v>7770.8300000000008</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c r="F53" s="71">
        <v>0</v>
      </c>
      <c r="G53" s="71">
        <v>288.89</v>
      </c>
      <c r="H53" s="71">
        <v>1288.3399999999999</v>
      </c>
      <c r="I53" s="71">
        <v>0</v>
      </c>
      <c r="J53" s="71">
        <v>15.25</v>
      </c>
      <c r="K53" s="71">
        <v>1615.98</v>
      </c>
      <c r="L53" s="71">
        <v>0</v>
      </c>
      <c r="M53" s="71">
        <v>1477.96</v>
      </c>
      <c r="N53" s="71">
        <v>610.65</v>
      </c>
      <c r="O53" s="71">
        <v>0</v>
      </c>
      <c r="P53" s="71">
        <v>156.83000000000001</v>
      </c>
      <c r="Q53" s="71">
        <v>1260.33</v>
      </c>
      <c r="R53" s="79">
        <f t="shared" ref="R53:R55" si="21">SUM(F53:Q53)</f>
        <v>6714.23</v>
      </c>
      <c r="S53" s="139">
        <f t="shared" ref="S53:S55" si="22">SUM(F53)</f>
        <v>0</v>
      </c>
      <c r="T53" s="139">
        <f>SUM($F53:G53)</f>
        <v>288.89</v>
      </c>
      <c r="U53" s="139">
        <f>SUM($F53:H53)</f>
        <v>1577.23</v>
      </c>
      <c r="V53" s="139">
        <f>SUM($F53:I53)</f>
        <v>1577.23</v>
      </c>
      <c r="W53" s="139">
        <f>SUM($F53:J53)</f>
        <v>1592.48</v>
      </c>
      <c r="X53" s="139">
        <f>SUM($F53:K53)</f>
        <v>3208.46</v>
      </c>
      <c r="Y53" s="139">
        <f>SUM($F53:L53)</f>
        <v>3208.46</v>
      </c>
      <c r="Z53" s="139">
        <f>SUM($F53:M53)</f>
        <v>4686.42</v>
      </c>
      <c r="AA53" s="139">
        <f>SUM($F53:N53)</f>
        <v>5297.07</v>
      </c>
      <c r="AB53" s="139">
        <f>SUM($F53:O53)</f>
        <v>5297.07</v>
      </c>
      <c r="AC53" s="139">
        <f>SUM($F53:P53)</f>
        <v>5453.9</v>
      </c>
      <c r="AD53" s="139">
        <f>SUM($F53:Q53)</f>
        <v>6714.23</v>
      </c>
    </row>
    <row r="54" spans="1:30" x14ac:dyDescent="0.25">
      <c r="A54" s="106">
        <v>49</v>
      </c>
      <c r="C54" s="1" t="s">
        <v>143</v>
      </c>
      <c r="E54" s="101"/>
      <c r="F54" s="71">
        <v>0</v>
      </c>
      <c r="G54" s="71">
        <v>0</v>
      </c>
      <c r="H54" s="71">
        <v>0</v>
      </c>
      <c r="I54" s="71">
        <v>0</v>
      </c>
      <c r="J54" s="71">
        <v>0</v>
      </c>
      <c r="K54" s="71">
        <v>0</v>
      </c>
      <c r="L54" s="71">
        <v>0</v>
      </c>
      <c r="M54" s="71">
        <v>0</v>
      </c>
      <c r="N54" s="71">
        <v>0</v>
      </c>
      <c r="O54" s="71">
        <v>0</v>
      </c>
      <c r="P54" s="71">
        <v>0</v>
      </c>
      <c r="Q54" s="71">
        <v>0</v>
      </c>
      <c r="R54" s="79">
        <f t="shared" si="21"/>
        <v>0</v>
      </c>
      <c r="S54" s="139">
        <f t="shared" si="22"/>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c r="F55" s="71">
        <v>0</v>
      </c>
      <c r="G55" s="71">
        <v>0</v>
      </c>
      <c r="H55" s="71">
        <v>0</v>
      </c>
      <c r="I55" s="71">
        <v>0</v>
      </c>
      <c r="J55" s="71">
        <v>0</v>
      </c>
      <c r="K55" s="71">
        <v>0</v>
      </c>
      <c r="L55" s="71">
        <v>0</v>
      </c>
      <c r="M55" s="71">
        <v>0</v>
      </c>
      <c r="N55" s="71">
        <v>0</v>
      </c>
      <c r="O55" s="71">
        <v>0</v>
      </c>
      <c r="P55" s="71">
        <v>0</v>
      </c>
      <c r="Q55" s="71">
        <v>0</v>
      </c>
      <c r="R55" s="79">
        <f t="shared" si="21"/>
        <v>0</v>
      </c>
      <c r="S55" s="139">
        <f t="shared" si="22"/>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23">SUM(F53:F55)</f>
        <v>0</v>
      </c>
      <c r="G56" s="75">
        <f t="shared" si="23"/>
        <v>288.89</v>
      </c>
      <c r="H56" s="75">
        <f t="shared" si="23"/>
        <v>1288.3399999999999</v>
      </c>
      <c r="I56" s="75">
        <f t="shared" si="23"/>
        <v>0</v>
      </c>
      <c r="J56" s="75">
        <f t="shared" si="23"/>
        <v>15.25</v>
      </c>
      <c r="K56" s="75">
        <f t="shared" si="23"/>
        <v>1615.98</v>
      </c>
      <c r="L56" s="75">
        <f t="shared" si="23"/>
        <v>0</v>
      </c>
      <c r="M56" s="75">
        <f t="shared" si="23"/>
        <v>1477.96</v>
      </c>
      <c r="N56" s="75">
        <f t="shared" si="23"/>
        <v>610.65</v>
      </c>
      <c r="O56" s="75">
        <f t="shared" si="23"/>
        <v>0</v>
      </c>
      <c r="P56" s="75">
        <f t="shared" si="23"/>
        <v>156.83000000000001</v>
      </c>
      <c r="Q56" s="75">
        <f t="shared" si="23"/>
        <v>1260.33</v>
      </c>
      <c r="R56" s="75">
        <f>SUM(R53:R55)</f>
        <v>6714.23</v>
      </c>
      <c r="S56" s="145">
        <f t="shared" ref="S56:AD56" si="24">SUM(S53:S55)</f>
        <v>0</v>
      </c>
      <c r="T56" s="145">
        <f t="shared" si="24"/>
        <v>288.89</v>
      </c>
      <c r="U56" s="145">
        <f t="shared" si="24"/>
        <v>1577.23</v>
      </c>
      <c r="V56" s="145">
        <f t="shared" si="24"/>
        <v>1577.23</v>
      </c>
      <c r="W56" s="145">
        <f t="shared" si="24"/>
        <v>1592.48</v>
      </c>
      <c r="X56" s="145">
        <f t="shared" si="24"/>
        <v>3208.46</v>
      </c>
      <c r="Y56" s="145">
        <f t="shared" si="24"/>
        <v>3208.46</v>
      </c>
      <c r="Z56" s="145">
        <f t="shared" si="24"/>
        <v>4686.42</v>
      </c>
      <c r="AA56" s="145">
        <f t="shared" si="24"/>
        <v>5297.07</v>
      </c>
      <c r="AB56" s="145">
        <f t="shared" si="24"/>
        <v>5297.07</v>
      </c>
      <c r="AC56" s="145">
        <f t="shared" si="24"/>
        <v>5453.9</v>
      </c>
      <c r="AD56" s="145">
        <f t="shared" si="24"/>
        <v>6714.23</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c r="F59" s="71">
        <v>0</v>
      </c>
      <c r="G59" s="71">
        <v>0</v>
      </c>
      <c r="H59" s="71">
        <v>0</v>
      </c>
      <c r="I59" s="71">
        <v>0</v>
      </c>
      <c r="J59" s="71">
        <v>0</v>
      </c>
      <c r="K59" s="71">
        <v>24.84</v>
      </c>
      <c r="L59" s="71">
        <v>0</v>
      </c>
      <c r="M59" s="71">
        <v>0</v>
      </c>
      <c r="N59" s="71">
        <v>0</v>
      </c>
      <c r="O59" s="71">
        <v>0</v>
      </c>
      <c r="P59" s="71">
        <v>45</v>
      </c>
      <c r="Q59" s="71">
        <v>0</v>
      </c>
      <c r="R59" s="79">
        <f t="shared" ref="R59:R60" si="25">SUM(F59:Q59)</f>
        <v>69.84</v>
      </c>
      <c r="S59" s="139">
        <f t="shared" ref="S59:S60" si="26">SUM(F59)</f>
        <v>0</v>
      </c>
      <c r="T59" s="139">
        <f>SUM($F59:G59)</f>
        <v>0</v>
      </c>
      <c r="U59" s="139">
        <f>SUM($F59:H59)</f>
        <v>0</v>
      </c>
      <c r="V59" s="139">
        <f>SUM($F59:I59)</f>
        <v>0</v>
      </c>
      <c r="W59" s="139">
        <f>SUM($F59:J59)</f>
        <v>0</v>
      </c>
      <c r="X59" s="139">
        <f>SUM($F59:K59)</f>
        <v>24.84</v>
      </c>
      <c r="Y59" s="139">
        <f>SUM($F59:L59)</f>
        <v>24.84</v>
      </c>
      <c r="Z59" s="139">
        <f>SUM($F59:M59)</f>
        <v>24.84</v>
      </c>
      <c r="AA59" s="139">
        <f>SUM($F59:N59)</f>
        <v>24.84</v>
      </c>
      <c r="AB59" s="139">
        <f>SUM($F59:O59)</f>
        <v>24.84</v>
      </c>
      <c r="AC59" s="139">
        <f>SUM($F59:P59)</f>
        <v>69.84</v>
      </c>
      <c r="AD59" s="139">
        <f>SUM($F59:Q59)</f>
        <v>69.84</v>
      </c>
    </row>
    <row r="60" spans="1:30" x14ac:dyDescent="0.25">
      <c r="A60" s="106">
        <v>55</v>
      </c>
      <c r="C60" s="1" t="s">
        <v>128</v>
      </c>
      <c r="E60" s="101"/>
      <c r="F60" s="71">
        <v>0</v>
      </c>
      <c r="G60" s="71">
        <v>0</v>
      </c>
      <c r="H60" s="71">
        <v>0</v>
      </c>
      <c r="I60" s="71">
        <v>0</v>
      </c>
      <c r="J60" s="71">
        <v>0</v>
      </c>
      <c r="K60" s="71">
        <v>0</v>
      </c>
      <c r="L60" s="71">
        <v>0</v>
      </c>
      <c r="M60" s="71">
        <v>0</v>
      </c>
      <c r="N60" s="71">
        <v>0</v>
      </c>
      <c r="O60" s="71">
        <v>0</v>
      </c>
      <c r="P60" s="71">
        <v>0</v>
      </c>
      <c r="Q60" s="71">
        <v>0</v>
      </c>
      <c r="R60" s="79">
        <f t="shared" si="25"/>
        <v>0</v>
      </c>
      <c r="S60" s="139">
        <f t="shared" si="26"/>
        <v>0</v>
      </c>
      <c r="T60" s="139">
        <f>SUM($F60:G60)</f>
        <v>0</v>
      </c>
      <c r="U60" s="139">
        <f>SUM($F60:H60)</f>
        <v>0</v>
      </c>
      <c r="V60" s="139">
        <f>SUM($F60:I60)</f>
        <v>0</v>
      </c>
      <c r="W60" s="139">
        <f>SUM($F60:J60)</f>
        <v>0</v>
      </c>
      <c r="X60" s="139">
        <f>SUM($F60:K60)</f>
        <v>0</v>
      </c>
      <c r="Y60" s="139">
        <f>SUM($F60:L60)</f>
        <v>0</v>
      </c>
      <c r="Z60" s="139">
        <f>SUM($F60:M60)</f>
        <v>0</v>
      </c>
      <c r="AA60" s="139">
        <f>SUM($F60:N60)</f>
        <v>0</v>
      </c>
      <c r="AB60" s="139">
        <f>SUM($F60:O60)</f>
        <v>0</v>
      </c>
      <c r="AC60" s="139">
        <f>SUM($F60:P60)</f>
        <v>0</v>
      </c>
      <c r="AD60" s="139">
        <f>SUM($F60:Q60)</f>
        <v>0</v>
      </c>
    </row>
    <row r="61" spans="1:30" s="5" customFormat="1" x14ac:dyDescent="0.25">
      <c r="A61" s="106">
        <v>56</v>
      </c>
      <c r="B61" s="51" t="s">
        <v>127</v>
      </c>
      <c r="C61" s="51"/>
      <c r="D61" s="51"/>
      <c r="E61" s="93"/>
      <c r="F61" s="75">
        <f t="shared" ref="F61:Q61" si="27">SUM(F59:F60)</f>
        <v>0</v>
      </c>
      <c r="G61" s="75">
        <f t="shared" si="27"/>
        <v>0</v>
      </c>
      <c r="H61" s="75">
        <f t="shared" si="27"/>
        <v>0</v>
      </c>
      <c r="I61" s="75">
        <f t="shared" si="27"/>
        <v>0</v>
      </c>
      <c r="J61" s="75">
        <f t="shared" si="27"/>
        <v>0</v>
      </c>
      <c r="K61" s="75">
        <f t="shared" si="27"/>
        <v>24.84</v>
      </c>
      <c r="L61" s="75">
        <f t="shared" si="27"/>
        <v>0</v>
      </c>
      <c r="M61" s="75">
        <f t="shared" si="27"/>
        <v>0</v>
      </c>
      <c r="N61" s="75">
        <f t="shared" si="27"/>
        <v>0</v>
      </c>
      <c r="O61" s="75">
        <f t="shared" si="27"/>
        <v>0</v>
      </c>
      <c r="P61" s="75">
        <f t="shared" si="27"/>
        <v>45</v>
      </c>
      <c r="Q61" s="75">
        <f t="shared" si="27"/>
        <v>0</v>
      </c>
      <c r="R61" s="75">
        <f>SUM(R59:R60)</f>
        <v>69.84</v>
      </c>
      <c r="S61" s="145">
        <f t="shared" ref="S61:AD61" si="28">SUM(S59:S60)</f>
        <v>0</v>
      </c>
      <c r="T61" s="145">
        <f t="shared" si="28"/>
        <v>0</v>
      </c>
      <c r="U61" s="145">
        <f t="shared" si="28"/>
        <v>0</v>
      </c>
      <c r="V61" s="145">
        <f t="shared" si="28"/>
        <v>0</v>
      </c>
      <c r="W61" s="145">
        <f t="shared" si="28"/>
        <v>0</v>
      </c>
      <c r="X61" s="145">
        <f t="shared" si="28"/>
        <v>24.84</v>
      </c>
      <c r="Y61" s="145">
        <f t="shared" si="28"/>
        <v>24.84</v>
      </c>
      <c r="Z61" s="145">
        <f t="shared" si="28"/>
        <v>24.84</v>
      </c>
      <c r="AA61" s="145">
        <f t="shared" si="28"/>
        <v>24.84</v>
      </c>
      <c r="AB61" s="145">
        <f t="shared" si="28"/>
        <v>24.84</v>
      </c>
      <c r="AC61" s="145">
        <f t="shared" si="28"/>
        <v>69.84</v>
      </c>
      <c r="AD61" s="145">
        <f t="shared" si="28"/>
        <v>69.84</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c r="F63" s="77">
        <v>35.979999999999997</v>
      </c>
      <c r="G63" s="77">
        <v>0</v>
      </c>
      <c r="H63" s="77">
        <v>0</v>
      </c>
      <c r="I63" s="77">
        <v>0</v>
      </c>
      <c r="J63" s="77">
        <v>0</v>
      </c>
      <c r="K63" s="77">
        <v>0</v>
      </c>
      <c r="L63" s="77">
        <v>0</v>
      </c>
      <c r="M63" s="77">
        <v>0</v>
      </c>
      <c r="N63" s="77">
        <v>100</v>
      </c>
      <c r="O63" s="77">
        <v>0</v>
      </c>
      <c r="P63" s="77">
        <v>0</v>
      </c>
      <c r="Q63" s="77">
        <v>0</v>
      </c>
      <c r="R63" s="86">
        <f t="shared" ref="R63" si="29">SUM(F63:Q63)</f>
        <v>135.97999999999999</v>
      </c>
      <c r="S63" s="147">
        <f t="shared" ref="S63" si="30">SUM(F63)</f>
        <v>35.979999999999997</v>
      </c>
      <c r="T63" s="147">
        <f>SUM($F63:G63)</f>
        <v>35.979999999999997</v>
      </c>
      <c r="U63" s="147">
        <f>SUM($F63:H63)</f>
        <v>35.979999999999997</v>
      </c>
      <c r="V63" s="147">
        <f>SUM($F63:I63)</f>
        <v>35.979999999999997</v>
      </c>
      <c r="W63" s="147">
        <f>SUM($F63:J63)</f>
        <v>35.979999999999997</v>
      </c>
      <c r="X63" s="147">
        <f>SUM($F63:K63)</f>
        <v>35.979999999999997</v>
      </c>
      <c r="Y63" s="147">
        <f>SUM($F63:L63)</f>
        <v>35.979999999999997</v>
      </c>
      <c r="Z63" s="147">
        <f>SUM($F63:M63)</f>
        <v>35.979999999999997</v>
      </c>
      <c r="AA63" s="147">
        <f>SUM($F63:N63)</f>
        <v>135.97999999999999</v>
      </c>
      <c r="AB63" s="147">
        <f>SUM($F63:O63)</f>
        <v>135.97999999999999</v>
      </c>
      <c r="AC63" s="147">
        <f>SUM($F63:P63)</f>
        <v>135.97999999999999</v>
      </c>
      <c r="AD63" s="147">
        <f>SUM($F63:Q63)</f>
        <v>135.97999999999999</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0</v>
      </c>
      <c r="P66" s="71">
        <v>0</v>
      </c>
      <c r="Q66" s="71">
        <v>0</v>
      </c>
      <c r="R66" s="79">
        <f t="shared" ref="R66:R70" si="31">SUM(F66:Q66)</f>
        <v>0</v>
      </c>
      <c r="S66" s="139">
        <f t="shared" ref="S66:S70" si="3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71">
        <v>0</v>
      </c>
      <c r="G67" s="71">
        <v>0</v>
      </c>
      <c r="H67" s="71">
        <v>0</v>
      </c>
      <c r="I67" s="71">
        <v>0</v>
      </c>
      <c r="J67" s="71">
        <v>0</v>
      </c>
      <c r="K67" s="71">
        <v>0</v>
      </c>
      <c r="L67" s="71">
        <v>0</v>
      </c>
      <c r="M67" s="71">
        <v>0</v>
      </c>
      <c r="N67" s="71">
        <v>0</v>
      </c>
      <c r="O67" s="71">
        <v>0</v>
      </c>
      <c r="P67" s="71">
        <v>1062</v>
      </c>
      <c r="Q67" s="71">
        <v>0</v>
      </c>
      <c r="R67" s="79">
        <f t="shared" si="31"/>
        <v>1062</v>
      </c>
      <c r="S67" s="139">
        <f t="shared" si="32"/>
        <v>0</v>
      </c>
      <c r="T67" s="139">
        <f>SUM($F67:G67)</f>
        <v>0</v>
      </c>
      <c r="U67" s="139">
        <f>SUM($F67:H67)</f>
        <v>0</v>
      </c>
      <c r="V67" s="139">
        <f>SUM($F67:I67)</f>
        <v>0</v>
      </c>
      <c r="W67" s="139">
        <f>SUM($F67:J67)</f>
        <v>0</v>
      </c>
      <c r="X67" s="139">
        <f>SUM($F67:K67)</f>
        <v>0</v>
      </c>
      <c r="Y67" s="139">
        <f>SUM($F67:L67)</f>
        <v>0</v>
      </c>
      <c r="Z67" s="139">
        <f>SUM($F67:M67)</f>
        <v>0</v>
      </c>
      <c r="AA67" s="139">
        <f>SUM($F67:N67)</f>
        <v>0</v>
      </c>
      <c r="AB67" s="139">
        <f>SUM($F67:O67)</f>
        <v>0</v>
      </c>
      <c r="AC67" s="139">
        <f>SUM($F67:P67)</f>
        <v>1062</v>
      </c>
      <c r="AD67" s="139">
        <f>SUM($F67:Q67)</f>
        <v>1062</v>
      </c>
    </row>
    <row r="68" spans="1:30" x14ac:dyDescent="0.25">
      <c r="A68" s="106">
        <v>63</v>
      </c>
      <c r="C68" s="1" t="s">
        <v>40</v>
      </c>
      <c r="F68" s="71">
        <v>0</v>
      </c>
      <c r="G68" s="71">
        <v>0</v>
      </c>
      <c r="H68" s="71">
        <v>0</v>
      </c>
      <c r="I68" s="71">
        <v>0</v>
      </c>
      <c r="J68" s="71">
        <v>0</v>
      </c>
      <c r="K68" s="71">
        <v>150</v>
      </c>
      <c r="L68" s="71">
        <v>0</v>
      </c>
      <c r="M68" s="71">
        <v>0</v>
      </c>
      <c r="N68" s="71">
        <v>0</v>
      </c>
      <c r="O68" s="71">
        <v>0</v>
      </c>
      <c r="P68" s="71">
        <v>0</v>
      </c>
      <c r="Q68" s="71">
        <v>0</v>
      </c>
      <c r="R68" s="79">
        <f t="shared" si="31"/>
        <v>150</v>
      </c>
      <c r="S68" s="139">
        <f t="shared" si="32"/>
        <v>0</v>
      </c>
      <c r="T68" s="139">
        <f>SUM($F68:G68)</f>
        <v>0</v>
      </c>
      <c r="U68" s="139">
        <f>SUM($F68:H68)</f>
        <v>0</v>
      </c>
      <c r="V68" s="139">
        <f>SUM($F68:I68)</f>
        <v>0</v>
      </c>
      <c r="W68" s="139">
        <f>SUM($F68:J68)</f>
        <v>0</v>
      </c>
      <c r="X68" s="139">
        <f>SUM($F68:K68)</f>
        <v>150</v>
      </c>
      <c r="Y68" s="139">
        <f>SUM($F68:L68)</f>
        <v>150</v>
      </c>
      <c r="Z68" s="139">
        <f>SUM($F68:M68)</f>
        <v>150</v>
      </c>
      <c r="AA68" s="139">
        <f>SUM($F68:N68)</f>
        <v>150</v>
      </c>
      <c r="AB68" s="139">
        <f>SUM($F68:O68)</f>
        <v>150</v>
      </c>
      <c r="AC68" s="139">
        <f>SUM($F68:P68)</f>
        <v>150</v>
      </c>
      <c r="AD68" s="139">
        <f>SUM($F68:Q68)</f>
        <v>150</v>
      </c>
    </row>
    <row r="69" spans="1:30" x14ac:dyDescent="0.25">
      <c r="A69" s="106">
        <v>64</v>
      </c>
      <c r="C69" s="1" t="s">
        <v>41</v>
      </c>
      <c r="E69" s="101"/>
      <c r="F69" s="71">
        <v>0</v>
      </c>
      <c r="G69" s="71">
        <v>0</v>
      </c>
      <c r="H69" s="71">
        <v>0</v>
      </c>
      <c r="I69" s="71">
        <v>0</v>
      </c>
      <c r="J69" s="71">
        <v>0</v>
      </c>
      <c r="K69" s="71">
        <v>0</v>
      </c>
      <c r="L69" s="71">
        <v>0</v>
      </c>
      <c r="M69" s="71">
        <v>0</v>
      </c>
      <c r="N69" s="71">
        <v>0</v>
      </c>
      <c r="O69" s="71">
        <v>0</v>
      </c>
      <c r="P69" s="71">
        <v>0</v>
      </c>
      <c r="Q69" s="71">
        <v>338</v>
      </c>
      <c r="R69" s="79">
        <f t="shared" si="31"/>
        <v>338</v>
      </c>
      <c r="S69" s="139">
        <f t="shared" si="32"/>
        <v>0</v>
      </c>
      <c r="T69" s="139">
        <f>SUM($F69:G69)</f>
        <v>0</v>
      </c>
      <c r="U69" s="139">
        <f>SUM($F69:H69)</f>
        <v>0</v>
      </c>
      <c r="V69" s="139">
        <f>SUM($F69:I69)</f>
        <v>0</v>
      </c>
      <c r="W69" s="139">
        <f>SUM($F69:J69)</f>
        <v>0</v>
      </c>
      <c r="X69" s="139">
        <f>SUM($F69:K69)</f>
        <v>0</v>
      </c>
      <c r="Y69" s="139">
        <f>SUM($F69:L69)</f>
        <v>0</v>
      </c>
      <c r="Z69" s="139">
        <f>SUM($F69:M69)</f>
        <v>0</v>
      </c>
      <c r="AA69" s="139">
        <f>SUM($F69:N69)</f>
        <v>0</v>
      </c>
      <c r="AB69" s="139">
        <f>SUM($F69:O69)</f>
        <v>0</v>
      </c>
      <c r="AC69" s="139">
        <f>SUM($F69:P69)</f>
        <v>0</v>
      </c>
      <c r="AD69" s="139">
        <f>SUM($F69:Q69)</f>
        <v>338</v>
      </c>
    </row>
    <row r="70" spans="1:30" x14ac:dyDescent="0.25">
      <c r="A70" s="106">
        <v>65</v>
      </c>
      <c r="C70" s="1" t="s">
        <v>42</v>
      </c>
      <c r="E70" s="101"/>
      <c r="F70" s="71">
        <v>0</v>
      </c>
      <c r="G70" s="71">
        <v>0</v>
      </c>
      <c r="H70" s="71">
        <v>0</v>
      </c>
      <c r="I70" s="71">
        <v>425</v>
      </c>
      <c r="J70" s="71">
        <v>0</v>
      </c>
      <c r="K70" s="71">
        <v>0</v>
      </c>
      <c r="L70" s="71">
        <v>0</v>
      </c>
      <c r="M70" s="71">
        <v>0</v>
      </c>
      <c r="N70" s="71">
        <v>0</v>
      </c>
      <c r="O70" s="71">
        <v>0</v>
      </c>
      <c r="P70" s="71">
        <v>0</v>
      </c>
      <c r="Q70" s="71">
        <v>910</v>
      </c>
      <c r="R70" s="79">
        <f t="shared" si="31"/>
        <v>1335</v>
      </c>
      <c r="S70" s="139">
        <f t="shared" si="32"/>
        <v>0</v>
      </c>
      <c r="T70" s="139">
        <f>SUM($F70:G70)</f>
        <v>0</v>
      </c>
      <c r="U70" s="139">
        <f>SUM($F70:H70)</f>
        <v>0</v>
      </c>
      <c r="V70" s="139">
        <f>SUM($F70:I70)</f>
        <v>425</v>
      </c>
      <c r="W70" s="139">
        <f>SUM($F70:J70)</f>
        <v>425</v>
      </c>
      <c r="X70" s="139">
        <f>SUM($F70:K70)</f>
        <v>425</v>
      </c>
      <c r="Y70" s="139">
        <f>SUM($F70:L70)</f>
        <v>425</v>
      </c>
      <c r="Z70" s="139">
        <f>SUM($F70:M70)</f>
        <v>425</v>
      </c>
      <c r="AA70" s="139">
        <f>SUM($F70:N70)</f>
        <v>425</v>
      </c>
      <c r="AB70" s="139">
        <f>SUM($F70:O70)</f>
        <v>425</v>
      </c>
      <c r="AC70" s="139">
        <f>SUM($F70:P70)</f>
        <v>425</v>
      </c>
      <c r="AD70" s="139">
        <f>SUM($F70:Q70)</f>
        <v>1335</v>
      </c>
    </row>
    <row r="71" spans="1:30" s="5" customFormat="1" x14ac:dyDescent="0.25">
      <c r="A71" s="106">
        <v>66</v>
      </c>
      <c r="B71" s="51" t="s">
        <v>43</v>
      </c>
      <c r="C71" s="51"/>
      <c r="D71" s="51"/>
      <c r="E71" s="93"/>
      <c r="F71" s="75">
        <f t="shared" ref="F71:Q71" si="33">SUM(F66:F70)</f>
        <v>0</v>
      </c>
      <c r="G71" s="75">
        <f t="shared" si="33"/>
        <v>0</v>
      </c>
      <c r="H71" s="75">
        <f t="shared" si="33"/>
        <v>0</v>
      </c>
      <c r="I71" s="75">
        <f t="shared" si="33"/>
        <v>425</v>
      </c>
      <c r="J71" s="75">
        <f t="shared" si="33"/>
        <v>0</v>
      </c>
      <c r="K71" s="75">
        <f t="shared" si="33"/>
        <v>150</v>
      </c>
      <c r="L71" s="75">
        <f t="shared" si="33"/>
        <v>0</v>
      </c>
      <c r="M71" s="75">
        <f t="shared" si="33"/>
        <v>0</v>
      </c>
      <c r="N71" s="75">
        <f t="shared" si="33"/>
        <v>0</v>
      </c>
      <c r="O71" s="75">
        <f t="shared" si="33"/>
        <v>0</v>
      </c>
      <c r="P71" s="75">
        <f t="shared" si="33"/>
        <v>1062</v>
      </c>
      <c r="Q71" s="75">
        <f t="shared" si="33"/>
        <v>1248</v>
      </c>
      <c r="R71" s="75">
        <f>SUM(R66:R70)</f>
        <v>2885</v>
      </c>
      <c r="S71" s="145">
        <f t="shared" ref="S71:AD71" si="34">SUM(S66:S70)</f>
        <v>0</v>
      </c>
      <c r="T71" s="145">
        <f t="shared" si="34"/>
        <v>0</v>
      </c>
      <c r="U71" s="145">
        <f t="shared" si="34"/>
        <v>0</v>
      </c>
      <c r="V71" s="145">
        <f t="shared" si="34"/>
        <v>425</v>
      </c>
      <c r="W71" s="145">
        <f t="shared" si="34"/>
        <v>425</v>
      </c>
      <c r="X71" s="145">
        <f t="shared" si="34"/>
        <v>575</v>
      </c>
      <c r="Y71" s="145">
        <f t="shared" si="34"/>
        <v>575</v>
      </c>
      <c r="Z71" s="145">
        <f t="shared" si="34"/>
        <v>575</v>
      </c>
      <c r="AA71" s="145">
        <f t="shared" si="34"/>
        <v>575</v>
      </c>
      <c r="AB71" s="145">
        <f t="shared" si="34"/>
        <v>575</v>
      </c>
      <c r="AC71" s="145">
        <f t="shared" si="34"/>
        <v>1637</v>
      </c>
      <c r="AD71" s="145">
        <f t="shared" si="34"/>
        <v>2885</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c r="F74" s="71">
        <v>219.17</v>
      </c>
      <c r="G74" s="71">
        <v>922.01</v>
      </c>
      <c r="H74" s="71">
        <v>1016.64</v>
      </c>
      <c r="I74" s="71">
        <v>290.26</v>
      </c>
      <c r="J74" s="71">
        <v>269.35000000000002</v>
      </c>
      <c r="K74" s="71">
        <v>799.7</v>
      </c>
      <c r="L74" s="71">
        <v>197.88</v>
      </c>
      <c r="M74" s="71">
        <v>522.75</v>
      </c>
      <c r="N74" s="71">
        <v>681.78</v>
      </c>
      <c r="O74" s="71">
        <v>629.35</v>
      </c>
      <c r="P74" s="71">
        <v>874.98</v>
      </c>
      <c r="Q74" s="71">
        <v>331</v>
      </c>
      <c r="R74" s="79">
        <f t="shared" ref="R74:R80" si="35">SUM(F74:Q74)</f>
        <v>6754.8700000000008</v>
      </c>
      <c r="S74" s="139">
        <f t="shared" ref="S74:S80" si="36">SUM(F74)</f>
        <v>219.17</v>
      </c>
      <c r="T74" s="139">
        <f>SUM($F74:G74)</f>
        <v>1141.18</v>
      </c>
      <c r="U74" s="139">
        <f>SUM($F74:H74)</f>
        <v>2157.8200000000002</v>
      </c>
      <c r="V74" s="139">
        <f>SUM($F74:I74)</f>
        <v>2448.08</v>
      </c>
      <c r="W74" s="139">
        <f>SUM($F74:J74)</f>
        <v>2717.43</v>
      </c>
      <c r="X74" s="139">
        <f>SUM($F74:K74)</f>
        <v>3517.13</v>
      </c>
      <c r="Y74" s="139">
        <f>SUM($F74:L74)</f>
        <v>3715.01</v>
      </c>
      <c r="Z74" s="139">
        <f>SUM($F74:M74)</f>
        <v>4237.76</v>
      </c>
      <c r="AA74" s="139">
        <f>SUM($F74:N74)</f>
        <v>4919.54</v>
      </c>
      <c r="AB74" s="139">
        <f>SUM($F74:O74)</f>
        <v>5548.89</v>
      </c>
      <c r="AC74" s="139">
        <f>SUM($F74:P74)</f>
        <v>6423.8700000000008</v>
      </c>
      <c r="AD74" s="139">
        <f>SUM($F74:Q74)</f>
        <v>6754.8700000000008</v>
      </c>
    </row>
    <row r="75" spans="1:30" x14ac:dyDescent="0.25">
      <c r="A75" s="106">
        <v>70</v>
      </c>
      <c r="C75" s="1" t="s">
        <v>46</v>
      </c>
      <c r="E75" s="101"/>
      <c r="F75" s="71">
        <v>0</v>
      </c>
      <c r="G75" s="71">
        <v>185</v>
      </c>
      <c r="H75" s="71">
        <v>509.5</v>
      </c>
      <c r="I75" s="71">
        <v>440</v>
      </c>
      <c r="J75" s="71">
        <v>0</v>
      </c>
      <c r="K75" s="71">
        <v>660</v>
      </c>
      <c r="L75" s="71">
        <v>500</v>
      </c>
      <c r="M75" s="71">
        <v>670.34</v>
      </c>
      <c r="N75" s="71">
        <v>493.64</v>
      </c>
      <c r="O75" s="71">
        <v>1364.8</v>
      </c>
      <c r="P75" s="71">
        <v>215.24</v>
      </c>
      <c r="Q75" s="71">
        <v>63.7</v>
      </c>
      <c r="R75" s="79">
        <f t="shared" si="35"/>
        <v>5102.2199999999993</v>
      </c>
      <c r="S75" s="139">
        <f t="shared" si="36"/>
        <v>0</v>
      </c>
      <c r="T75" s="139">
        <f>SUM($F75:G75)</f>
        <v>185</v>
      </c>
      <c r="U75" s="139">
        <f>SUM($F75:H75)</f>
        <v>694.5</v>
      </c>
      <c r="V75" s="139">
        <f>SUM($F75:I75)</f>
        <v>1134.5</v>
      </c>
      <c r="W75" s="139">
        <f>SUM($F75:J75)</f>
        <v>1134.5</v>
      </c>
      <c r="X75" s="139">
        <f>SUM($F75:K75)</f>
        <v>1794.5</v>
      </c>
      <c r="Y75" s="139">
        <f>SUM($F75:L75)</f>
        <v>2294.5</v>
      </c>
      <c r="Z75" s="139">
        <f>SUM($F75:M75)</f>
        <v>2964.84</v>
      </c>
      <c r="AA75" s="139">
        <f>SUM($F75:N75)</f>
        <v>3458.48</v>
      </c>
      <c r="AB75" s="139">
        <f>SUM($F75:O75)</f>
        <v>4823.28</v>
      </c>
      <c r="AC75" s="139">
        <f>SUM($F75:P75)</f>
        <v>5038.5199999999995</v>
      </c>
      <c r="AD75" s="139">
        <f>SUM($F75:Q75)</f>
        <v>5102.2199999999993</v>
      </c>
    </row>
    <row r="76" spans="1:30" x14ac:dyDescent="0.25">
      <c r="A76" s="106">
        <v>71</v>
      </c>
      <c r="C76" s="1" t="s">
        <v>145</v>
      </c>
      <c r="E76" s="101"/>
      <c r="F76" s="71">
        <v>0</v>
      </c>
      <c r="G76" s="71">
        <v>0</v>
      </c>
      <c r="H76" s="71">
        <v>0</v>
      </c>
      <c r="I76" s="71">
        <v>0</v>
      </c>
      <c r="J76" s="71">
        <v>0</v>
      </c>
      <c r="K76" s="71">
        <v>0</v>
      </c>
      <c r="L76" s="71">
        <v>168</v>
      </c>
      <c r="M76" s="71">
        <v>0</v>
      </c>
      <c r="N76" s="71">
        <v>0</v>
      </c>
      <c r="O76" s="71">
        <v>0</v>
      </c>
      <c r="P76" s="71">
        <v>0</v>
      </c>
      <c r="Q76" s="71">
        <v>322.5</v>
      </c>
      <c r="R76" s="79">
        <f t="shared" si="35"/>
        <v>490.5</v>
      </c>
      <c r="S76" s="139">
        <f t="shared" si="36"/>
        <v>0</v>
      </c>
      <c r="T76" s="139">
        <f>SUM($F76:G76)</f>
        <v>0</v>
      </c>
      <c r="U76" s="139">
        <f>SUM($F76:H76)</f>
        <v>0</v>
      </c>
      <c r="V76" s="139">
        <f>SUM($F76:I76)</f>
        <v>0</v>
      </c>
      <c r="W76" s="139">
        <f>SUM($F76:J76)</f>
        <v>0</v>
      </c>
      <c r="X76" s="139">
        <f>SUM($F76:K76)</f>
        <v>0</v>
      </c>
      <c r="Y76" s="139">
        <f>SUM($F76:L76)</f>
        <v>168</v>
      </c>
      <c r="Z76" s="139">
        <f>SUM($F76:M76)</f>
        <v>168</v>
      </c>
      <c r="AA76" s="139">
        <f>SUM($F76:N76)</f>
        <v>168</v>
      </c>
      <c r="AB76" s="139">
        <f>SUM($F76:O76)</f>
        <v>168</v>
      </c>
      <c r="AC76" s="139">
        <f>SUM($F76:P76)</f>
        <v>168</v>
      </c>
      <c r="AD76" s="139">
        <f>SUM($F76:Q76)</f>
        <v>490.5</v>
      </c>
    </row>
    <row r="77" spans="1:30" x14ac:dyDescent="0.25">
      <c r="A77" s="106">
        <v>72</v>
      </c>
      <c r="C77" s="1" t="s">
        <v>47</v>
      </c>
      <c r="F77" s="71">
        <v>126.5</v>
      </c>
      <c r="G77" s="71">
        <v>0</v>
      </c>
      <c r="H77" s="71">
        <v>254.9</v>
      </c>
      <c r="I77" s="71">
        <v>126.5</v>
      </c>
      <c r="J77" s="71">
        <v>126.5</v>
      </c>
      <c r="K77" s="71">
        <v>126.5</v>
      </c>
      <c r="L77" s="71">
        <v>126.5</v>
      </c>
      <c r="M77" s="71">
        <v>126.5</v>
      </c>
      <c r="N77" s="71">
        <v>126.5</v>
      </c>
      <c r="O77" s="71">
        <v>126.5</v>
      </c>
      <c r="P77" s="71">
        <v>126.5</v>
      </c>
      <c r="Q77" s="71">
        <v>126.5</v>
      </c>
      <c r="R77" s="79">
        <f t="shared" si="35"/>
        <v>1519.9</v>
      </c>
      <c r="S77" s="139">
        <f t="shared" si="36"/>
        <v>126.5</v>
      </c>
      <c r="T77" s="139">
        <f>SUM($F77:G77)</f>
        <v>126.5</v>
      </c>
      <c r="U77" s="139">
        <f>SUM($F77:H77)</f>
        <v>381.4</v>
      </c>
      <c r="V77" s="139">
        <f>SUM($F77:I77)</f>
        <v>507.9</v>
      </c>
      <c r="W77" s="139">
        <f>SUM($F77:J77)</f>
        <v>634.4</v>
      </c>
      <c r="X77" s="139">
        <f>SUM($F77:K77)</f>
        <v>760.9</v>
      </c>
      <c r="Y77" s="139">
        <f>SUM($F77:L77)</f>
        <v>887.4</v>
      </c>
      <c r="Z77" s="139">
        <f>SUM($F77:M77)</f>
        <v>1013.9</v>
      </c>
      <c r="AA77" s="139">
        <f>SUM($F77:N77)</f>
        <v>1140.4000000000001</v>
      </c>
      <c r="AB77" s="139">
        <f>SUM($F77:O77)</f>
        <v>1266.9000000000001</v>
      </c>
      <c r="AC77" s="139">
        <f>SUM($F77:P77)</f>
        <v>1393.4</v>
      </c>
      <c r="AD77" s="139">
        <f>SUM($F77:Q77)</f>
        <v>1519.9</v>
      </c>
    </row>
    <row r="78" spans="1:30" x14ac:dyDescent="0.25">
      <c r="A78" s="106">
        <v>73</v>
      </c>
      <c r="C78" s="1" t="s">
        <v>48</v>
      </c>
      <c r="E78" s="101"/>
      <c r="F78" s="71">
        <v>1068.3</v>
      </c>
      <c r="G78" s="71">
        <v>1261.56</v>
      </c>
      <c r="H78" s="71">
        <v>1328.45</v>
      </c>
      <c r="I78" s="71">
        <v>801.62</v>
      </c>
      <c r="J78" s="71">
        <v>1902.9</v>
      </c>
      <c r="K78" s="71">
        <v>1218.6300000000001</v>
      </c>
      <c r="L78" s="71">
        <v>1793.95</v>
      </c>
      <c r="M78" s="71">
        <v>1644.81</v>
      </c>
      <c r="N78" s="71">
        <v>1931.2</v>
      </c>
      <c r="O78" s="71">
        <v>2028.15</v>
      </c>
      <c r="P78" s="71">
        <v>2416.3000000000002</v>
      </c>
      <c r="Q78" s="71">
        <v>2410.0500000000002</v>
      </c>
      <c r="R78" s="79">
        <f t="shared" si="35"/>
        <v>19805.919999999998</v>
      </c>
      <c r="S78" s="139">
        <f t="shared" si="36"/>
        <v>1068.3</v>
      </c>
      <c r="T78" s="139">
        <f>SUM($F78:G78)</f>
        <v>2329.8599999999997</v>
      </c>
      <c r="U78" s="139">
        <f>SUM($F78:H78)</f>
        <v>3658.3099999999995</v>
      </c>
      <c r="V78" s="139">
        <f>SUM($F78:I78)</f>
        <v>4459.9299999999994</v>
      </c>
      <c r="W78" s="139">
        <f>SUM($F78:J78)</f>
        <v>6362.83</v>
      </c>
      <c r="X78" s="139">
        <f>SUM($F78:K78)</f>
        <v>7581.46</v>
      </c>
      <c r="Y78" s="139">
        <f>SUM($F78:L78)</f>
        <v>9375.41</v>
      </c>
      <c r="Z78" s="139">
        <f>SUM($F78:M78)</f>
        <v>11020.22</v>
      </c>
      <c r="AA78" s="139">
        <f>SUM($F78:N78)</f>
        <v>12951.42</v>
      </c>
      <c r="AB78" s="139">
        <f>SUM($F78:O78)</f>
        <v>14979.57</v>
      </c>
      <c r="AC78" s="139">
        <f>SUM($F78:P78)</f>
        <v>17395.87</v>
      </c>
      <c r="AD78" s="139">
        <f>SUM($F78:Q78)</f>
        <v>19805.919999999998</v>
      </c>
    </row>
    <row r="79" spans="1:30" x14ac:dyDescent="0.25">
      <c r="A79" s="106">
        <v>74</v>
      </c>
      <c r="C79" s="1" t="s">
        <v>49</v>
      </c>
      <c r="E79" s="101"/>
      <c r="F79" s="71">
        <v>123.8</v>
      </c>
      <c r="G79" s="71">
        <v>119.76</v>
      </c>
      <c r="H79" s="71">
        <v>132.6</v>
      </c>
      <c r="I79" s="71">
        <v>335.25</v>
      </c>
      <c r="J79" s="71">
        <v>141.28</v>
      </c>
      <c r="K79" s="71">
        <v>96.88</v>
      </c>
      <c r="L79" s="71">
        <v>481.76</v>
      </c>
      <c r="M79" s="71">
        <v>186.92</v>
      </c>
      <c r="N79" s="71">
        <v>36.01</v>
      </c>
      <c r="O79" s="71">
        <v>586.85</v>
      </c>
      <c r="P79" s="71">
        <v>118.23</v>
      </c>
      <c r="Q79" s="71">
        <v>150.13999999999999</v>
      </c>
      <c r="R79" s="79">
        <f t="shared" si="35"/>
        <v>2509.48</v>
      </c>
      <c r="S79" s="139">
        <f t="shared" si="36"/>
        <v>123.8</v>
      </c>
      <c r="T79" s="139">
        <f>SUM($F79:G79)</f>
        <v>243.56</v>
      </c>
      <c r="U79" s="139">
        <f>SUM($F79:H79)</f>
        <v>376.15999999999997</v>
      </c>
      <c r="V79" s="139">
        <f>SUM($F79:I79)</f>
        <v>711.41</v>
      </c>
      <c r="W79" s="139">
        <f>SUM($F79:J79)</f>
        <v>852.68999999999994</v>
      </c>
      <c r="X79" s="139">
        <f>SUM($F79:K79)</f>
        <v>949.56999999999994</v>
      </c>
      <c r="Y79" s="139">
        <f>SUM($F79:L79)</f>
        <v>1431.33</v>
      </c>
      <c r="Z79" s="139">
        <f>SUM($F79:M79)</f>
        <v>1618.25</v>
      </c>
      <c r="AA79" s="139">
        <f>SUM($F79:N79)</f>
        <v>1654.26</v>
      </c>
      <c r="AB79" s="139">
        <f>SUM($F79:O79)</f>
        <v>2241.11</v>
      </c>
      <c r="AC79" s="139">
        <f>SUM($F79:P79)</f>
        <v>2359.34</v>
      </c>
      <c r="AD79" s="139">
        <f>SUM($F79:Q79)</f>
        <v>2509.48</v>
      </c>
    </row>
    <row r="80" spans="1:30" x14ac:dyDescent="0.25">
      <c r="A80" s="106">
        <v>75</v>
      </c>
      <c r="C80" s="1" t="s">
        <v>50</v>
      </c>
      <c r="E80" s="101"/>
      <c r="F80" s="71">
        <v>0</v>
      </c>
      <c r="G80" s="71">
        <v>19.91</v>
      </c>
      <c r="H80" s="71">
        <v>18.899999999999999</v>
      </c>
      <c r="I80" s="71">
        <v>0</v>
      </c>
      <c r="J80" s="71">
        <v>0</v>
      </c>
      <c r="K80" s="71">
        <v>0</v>
      </c>
      <c r="L80" s="71">
        <v>0</v>
      </c>
      <c r="M80" s="71">
        <v>0</v>
      </c>
      <c r="N80" s="71">
        <v>0</v>
      </c>
      <c r="O80" s="71">
        <v>99.86</v>
      </c>
      <c r="P80" s="71">
        <v>136.97999999999999</v>
      </c>
      <c r="Q80" s="71">
        <v>128.61000000000001</v>
      </c>
      <c r="R80" s="79">
        <f t="shared" si="35"/>
        <v>404.26</v>
      </c>
      <c r="S80" s="139">
        <f t="shared" si="36"/>
        <v>0</v>
      </c>
      <c r="T80" s="139">
        <f>SUM($F80:G80)</f>
        <v>19.91</v>
      </c>
      <c r="U80" s="139">
        <f>SUM($F80:H80)</f>
        <v>38.81</v>
      </c>
      <c r="V80" s="139">
        <f>SUM($F80:I80)</f>
        <v>38.81</v>
      </c>
      <c r="W80" s="139">
        <f>SUM($F80:J80)</f>
        <v>38.81</v>
      </c>
      <c r="X80" s="139">
        <f>SUM($F80:K80)</f>
        <v>38.81</v>
      </c>
      <c r="Y80" s="139">
        <f>SUM($F80:L80)</f>
        <v>38.81</v>
      </c>
      <c r="Z80" s="139">
        <f>SUM($F80:M80)</f>
        <v>38.81</v>
      </c>
      <c r="AA80" s="139">
        <f>SUM($F80:N80)</f>
        <v>38.81</v>
      </c>
      <c r="AB80" s="139">
        <f>SUM($F80:O80)</f>
        <v>138.67000000000002</v>
      </c>
      <c r="AC80" s="139">
        <f>SUM($F80:P80)</f>
        <v>275.64999999999998</v>
      </c>
      <c r="AD80" s="139">
        <f>SUM($F80:Q80)</f>
        <v>404.26</v>
      </c>
    </row>
    <row r="81" spans="1:30" s="5" customFormat="1" x14ac:dyDescent="0.25">
      <c r="A81" s="106">
        <v>76</v>
      </c>
      <c r="B81" s="51" t="s">
        <v>53</v>
      </c>
      <c r="C81" s="51"/>
      <c r="D81" s="51"/>
      <c r="E81" s="93"/>
      <c r="F81" s="75">
        <f t="shared" ref="F81:Q81" si="37">SUM(F74:F80)</f>
        <v>1537.7699999999998</v>
      </c>
      <c r="G81" s="75">
        <f t="shared" si="37"/>
        <v>2508.2399999999998</v>
      </c>
      <c r="H81" s="75">
        <f t="shared" si="37"/>
        <v>3260.99</v>
      </c>
      <c r="I81" s="75">
        <f t="shared" si="37"/>
        <v>1993.63</v>
      </c>
      <c r="J81" s="75">
        <f t="shared" si="37"/>
        <v>2440.0300000000002</v>
      </c>
      <c r="K81" s="75">
        <f t="shared" si="37"/>
        <v>2901.71</v>
      </c>
      <c r="L81" s="75">
        <f t="shared" si="37"/>
        <v>3268.09</v>
      </c>
      <c r="M81" s="75">
        <f t="shared" si="37"/>
        <v>3151.32</v>
      </c>
      <c r="N81" s="75">
        <f t="shared" si="37"/>
        <v>3269.13</v>
      </c>
      <c r="O81" s="75">
        <f t="shared" si="37"/>
        <v>4835.51</v>
      </c>
      <c r="P81" s="75">
        <f t="shared" si="37"/>
        <v>3888.2300000000005</v>
      </c>
      <c r="Q81" s="75">
        <f t="shared" si="37"/>
        <v>3532.5</v>
      </c>
      <c r="R81" s="75">
        <f>SUM(R74:R80)</f>
        <v>36587.15</v>
      </c>
      <c r="S81" s="145">
        <f t="shared" ref="S81:AD81" si="38">SUM(S74:S80)</f>
        <v>1537.7699999999998</v>
      </c>
      <c r="T81" s="145">
        <f t="shared" si="38"/>
        <v>4046.0099999999998</v>
      </c>
      <c r="U81" s="145">
        <f t="shared" si="38"/>
        <v>7307</v>
      </c>
      <c r="V81" s="145">
        <f t="shared" si="38"/>
        <v>9300.6299999999992</v>
      </c>
      <c r="W81" s="145">
        <f t="shared" si="38"/>
        <v>11740.66</v>
      </c>
      <c r="X81" s="145">
        <f t="shared" si="38"/>
        <v>14642.369999999999</v>
      </c>
      <c r="Y81" s="145">
        <f t="shared" si="38"/>
        <v>17910.460000000003</v>
      </c>
      <c r="Z81" s="145">
        <f t="shared" si="38"/>
        <v>21061.780000000002</v>
      </c>
      <c r="AA81" s="145">
        <f t="shared" si="38"/>
        <v>24330.91</v>
      </c>
      <c r="AB81" s="145">
        <f t="shared" si="38"/>
        <v>29166.42</v>
      </c>
      <c r="AC81" s="145">
        <f t="shared" si="38"/>
        <v>33054.65</v>
      </c>
      <c r="AD81" s="145">
        <f t="shared" si="38"/>
        <v>36587.15</v>
      </c>
    </row>
    <row r="82" spans="1:30" x14ac:dyDescent="0.25">
      <c r="A82" s="106">
        <v>77</v>
      </c>
      <c r="B82" s="51" t="s">
        <v>126</v>
      </c>
      <c r="C82" s="32"/>
      <c r="D82" s="32"/>
      <c r="E82" s="95"/>
      <c r="F82" s="75">
        <f t="shared" ref="F82:Q82" si="39">+F41+F43+F50+F56+F63+F71+F81+F61</f>
        <v>1815.4099999999999</v>
      </c>
      <c r="G82" s="75">
        <f t="shared" si="39"/>
        <v>4061.81</v>
      </c>
      <c r="H82" s="75">
        <f t="shared" si="39"/>
        <v>6420.68</v>
      </c>
      <c r="I82" s="75">
        <f t="shared" si="39"/>
        <v>4062.05</v>
      </c>
      <c r="J82" s="75">
        <f t="shared" si="39"/>
        <v>4067.5</v>
      </c>
      <c r="K82" s="75">
        <f t="shared" si="39"/>
        <v>6536.92</v>
      </c>
      <c r="L82" s="75">
        <f t="shared" si="39"/>
        <v>4247.76</v>
      </c>
      <c r="M82" s="75">
        <f t="shared" si="39"/>
        <v>5838.96</v>
      </c>
      <c r="N82" s="75">
        <f t="shared" si="39"/>
        <v>5033.18</v>
      </c>
      <c r="O82" s="75">
        <f t="shared" si="39"/>
        <v>6825.7000000000007</v>
      </c>
      <c r="P82" s="75">
        <f t="shared" si="39"/>
        <v>7700.6200000000008</v>
      </c>
      <c r="Q82" s="75">
        <f t="shared" si="39"/>
        <v>7399.5499999999993</v>
      </c>
      <c r="R82" s="75">
        <f>+R41+R43+R50+R56+R63+R71+R81+R61</f>
        <v>64010.14</v>
      </c>
      <c r="S82" s="145">
        <f t="shared" ref="S82:AD82" si="40">+S41+S43+S50+S56+S63+S71+S81+S61</f>
        <v>1815.4099999999999</v>
      </c>
      <c r="T82" s="145">
        <f t="shared" si="40"/>
        <v>5877.2199999999993</v>
      </c>
      <c r="U82" s="145">
        <f t="shared" si="40"/>
        <v>12297.9</v>
      </c>
      <c r="V82" s="145">
        <f t="shared" si="40"/>
        <v>16359.949999999999</v>
      </c>
      <c r="W82" s="145">
        <f t="shared" si="40"/>
        <v>20427.449999999997</v>
      </c>
      <c r="X82" s="145">
        <f t="shared" si="40"/>
        <v>26964.37</v>
      </c>
      <c r="Y82" s="145">
        <f t="shared" si="40"/>
        <v>31212.13</v>
      </c>
      <c r="Z82" s="145">
        <f t="shared" si="40"/>
        <v>37051.089999999997</v>
      </c>
      <c r="AA82" s="145">
        <f t="shared" si="40"/>
        <v>42084.27</v>
      </c>
      <c r="AB82" s="145">
        <f t="shared" si="40"/>
        <v>48909.97</v>
      </c>
      <c r="AC82" s="145">
        <f t="shared" si="40"/>
        <v>56610.59</v>
      </c>
      <c r="AD82" s="145">
        <f t="shared" si="40"/>
        <v>64010.14</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c r="F86" s="71">
        <v>6869.58</v>
      </c>
      <c r="G86" s="71">
        <v>7477.58</v>
      </c>
      <c r="H86" s="71">
        <v>6869.58</v>
      </c>
      <c r="I86" s="71">
        <v>8085.59</v>
      </c>
      <c r="J86" s="71">
        <v>6869.58</v>
      </c>
      <c r="K86" s="71">
        <v>8693.59</v>
      </c>
      <c r="L86" s="71">
        <v>6869.58</v>
      </c>
      <c r="M86" s="71">
        <v>6869.58</v>
      </c>
      <c r="N86" s="71">
        <v>8693.59</v>
      </c>
      <c r="O86" s="71">
        <v>6869.58</v>
      </c>
      <c r="P86" s="71">
        <v>6869.58</v>
      </c>
      <c r="Q86" s="71">
        <v>8693.59</v>
      </c>
      <c r="R86" s="79">
        <f t="shared" ref="R86:R90" si="41">SUM(F86:Q86)</f>
        <v>89731</v>
      </c>
      <c r="S86" s="139">
        <f t="shared" ref="S86:S90" si="42">SUM(F86)</f>
        <v>6869.58</v>
      </c>
      <c r="T86" s="139">
        <f>SUM($F86:G86)</f>
        <v>14347.16</v>
      </c>
      <c r="U86" s="139">
        <f>SUM($F86:H86)</f>
        <v>21216.739999999998</v>
      </c>
      <c r="V86" s="139">
        <f>SUM($F86:I86)</f>
        <v>29302.329999999998</v>
      </c>
      <c r="W86" s="139">
        <f>SUM($F86:J86)</f>
        <v>36171.909999999996</v>
      </c>
      <c r="X86" s="139">
        <f>SUM($F86:K86)</f>
        <v>44865.5</v>
      </c>
      <c r="Y86" s="139">
        <f>SUM($F86:L86)</f>
        <v>51735.08</v>
      </c>
      <c r="Z86" s="139">
        <f>SUM($F86:M86)</f>
        <v>58604.66</v>
      </c>
      <c r="AA86" s="139">
        <f>SUM($F86:N86)</f>
        <v>67298.25</v>
      </c>
      <c r="AB86" s="139">
        <f>SUM($F86:O86)</f>
        <v>74167.83</v>
      </c>
      <c r="AC86" s="139">
        <f>SUM($F86:P86)</f>
        <v>81037.41</v>
      </c>
      <c r="AD86" s="139">
        <f>SUM($F86:Q86)</f>
        <v>89731</v>
      </c>
    </row>
    <row r="87" spans="1:30" x14ac:dyDescent="0.25">
      <c r="A87" s="106">
        <v>82</v>
      </c>
      <c r="C87" s="1" t="s">
        <v>55</v>
      </c>
      <c r="E87" s="101"/>
      <c r="F87" s="71">
        <v>458.33</v>
      </c>
      <c r="G87" s="71">
        <v>458.33</v>
      </c>
      <c r="H87" s="71">
        <v>458.33</v>
      </c>
      <c r="I87" s="71">
        <v>458.33</v>
      </c>
      <c r="J87" s="71">
        <v>458.33</v>
      </c>
      <c r="K87" s="71">
        <v>458.33</v>
      </c>
      <c r="L87" s="71">
        <v>458.33</v>
      </c>
      <c r="M87" s="71">
        <v>458.33</v>
      </c>
      <c r="N87" s="71">
        <v>458.33</v>
      </c>
      <c r="O87" s="71">
        <v>458.33</v>
      </c>
      <c r="P87" s="71">
        <v>458.33</v>
      </c>
      <c r="Q87" s="71">
        <v>458.33</v>
      </c>
      <c r="R87" s="79">
        <f t="shared" si="41"/>
        <v>5499.96</v>
      </c>
      <c r="S87" s="139">
        <f t="shared" si="42"/>
        <v>458.33</v>
      </c>
      <c r="T87" s="139">
        <f>SUM($F87:G87)</f>
        <v>916.66</v>
      </c>
      <c r="U87" s="139">
        <f>SUM($F87:H87)</f>
        <v>1374.99</v>
      </c>
      <c r="V87" s="139">
        <f>SUM($F87:I87)</f>
        <v>1833.32</v>
      </c>
      <c r="W87" s="139">
        <f>SUM($F87:J87)</f>
        <v>2291.65</v>
      </c>
      <c r="X87" s="139">
        <f>SUM($F87:K87)</f>
        <v>2749.98</v>
      </c>
      <c r="Y87" s="139">
        <f>SUM($F87:L87)</f>
        <v>3208.31</v>
      </c>
      <c r="Z87" s="139">
        <f>SUM($F87:M87)</f>
        <v>3666.64</v>
      </c>
      <c r="AA87" s="139">
        <f>SUM($F87:N87)</f>
        <v>4124.97</v>
      </c>
      <c r="AB87" s="139">
        <f>SUM($F87:O87)</f>
        <v>4583.3</v>
      </c>
      <c r="AC87" s="139">
        <f>SUM($F87:P87)</f>
        <v>5041.63</v>
      </c>
      <c r="AD87" s="139">
        <f>SUM($F87:Q87)</f>
        <v>5499.96</v>
      </c>
    </row>
    <row r="88" spans="1:30" x14ac:dyDescent="0.25">
      <c r="A88" s="106">
        <v>83</v>
      </c>
      <c r="C88" s="1" t="s">
        <v>56</v>
      </c>
      <c r="E88" s="101"/>
      <c r="F88" s="71">
        <v>2834.93</v>
      </c>
      <c r="G88" s="71">
        <v>2834.93</v>
      </c>
      <c r="H88" s="71">
        <v>2911.61</v>
      </c>
      <c r="I88" s="71">
        <v>2883.5</v>
      </c>
      <c r="J88" s="71">
        <v>2761.9</v>
      </c>
      <c r="K88" s="71">
        <v>2859.18</v>
      </c>
      <c r="L88" s="71">
        <v>2859.18</v>
      </c>
      <c r="M88" s="71">
        <v>2859.18</v>
      </c>
      <c r="N88" s="71">
        <v>2859.18</v>
      </c>
      <c r="O88" s="71">
        <v>2859.18</v>
      </c>
      <c r="P88" s="71">
        <v>2859.18</v>
      </c>
      <c r="Q88" s="71">
        <v>2821.4</v>
      </c>
      <c r="R88" s="79">
        <f t="shared" si="41"/>
        <v>34203.35</v>
      </c>
      <c r="S88" s="139">
        <f t="shared" si="42"/>
        <v>2834.93</v>
      </c>
      <c r="T88" s="139">
        <f>SUM($F88:G88)</f>
        <v>5669.86</v>
      </c>
      <c r="U88" s="139">
        <f>SUM($F88:H88)</f>
        <v>8581.4699999999993</v>
      </c>
      <c r="V88" s="139">
        <f>SUM($F88:I88)</f>
        <v>11464.97</v>
      </c>
      <c r="W88" s="139">
        <f>SUM($F88:J88)</f>
        <v>14226.869999999999</v>
      </c>
      <c r="X88" s="139">
        <f>SUM($F88:K88)</f>
        <v>17086.05</v>
      </c>
      <c r="Y88" s="139">
        <f>SUM($F88:L88)</f>
        <v>19945.23</v>
      </c>
      <c r="Z88" s="139">
        <f>SUM($F88:M88)</f>
        <v>22804.41</v>
      </c>
      <c r="AA88" s="139">
        <f>SUM($F88:N88)</f>
        <v>25663.59</v>
      </c>
      <c r="AB88" s="139">
        <f>SUM($F88:O88)</f>
        <v>28522.77</v>
      </c>
      <c r="AC88" s="139">
        <f>SUM($F88:P88)</f>
        <v>31381.95</v>
      </c>
      <c r="AD88" s="139">
        <f>SUM($F88:Q88)</f>
        <v>34203.35</v>
      </c>
    </row>
    <row r="89" spans="1:30" x14ac:dyDescent="0.25">
      <c r="A89" s="106">
        <v>84</v>
      </c>
      <c r="C89" s="1" t="s">
        <v>57</v>
      </c>
      <c r="E89" s="101"/>
      <c r="F89" s="71">
        <v>438.9</v>
      </c>
      <c r="G89" s="71">
        <v>307.08</v>
      </c>
      <c r="H89" s="71">
        <v>1641.01</v>
      </c>
      <c r="I89" s="71">
        <v>440.23</v>
      </c>
      <c r="J89" s="71">
        <v>133.02000000000001</v>
      </c>
      <c r="K89" s="71">
        <v>748.92</v>
      </c>
      <c r="L89" s="71">
        <v>530.92999999999995</v>
      </c>
      <c r="M89" s="71">
        <v>-225</v>
      </c>
      <c r="N89" s="71">
        <v>-15.09</v>
      </c>
      <c r="O89" s="71">
        <v>-3.5</v>
      </c>
      <c r="P89" s="71">
        <v>51.81</v>
      </c>
      <c r="Q89" s="71">
        <v>0</v>
      </c>
      <c r="R89" s="79">
        <f t="shared" si="41"/>
        <v>4048.31</v>
      </c>
      <c r="S89" s="139">
        <f t="shared" si="42"/>
        <v>438.9</v>
      </c>
      <c r="T89" s="139">
        <f>SUM($F89:G89)</f>
        <v>745.98</v>
      </c>
      <c r="U89" s="139">
        <f>SUM($F89:H89)</f>
        <v>2386.9899999999998</v>
      </c>
      <c r="V89" s="139">
        <f>SUM($F89:I89)</f>
        <v>2827.22</v>
      </c>
      <c r="W89" s="139">
        <f>SUM($F89:J89)</f>
        <v>2960.24</v>
      </c>
      <c r="X89" s="139">
        <f>SUM($F89:K89)</f>
        <v>3709.16</v>
      </c>
      <c r="Y89" s="139">
        <f>SUM($F89:L89)</f>
        <v>4240.09</v>
      </c>
      <c r="Z89" s="139">
        <f>SUM($F89:M89)</f>
        <v>4015.09</v>
      </c>
      <c r="AA89" s="139">
        <f>SUM($F89:N89)</f>
        <v>4000</v>
      </c>
      <c r="AB89" s="139">
        <f>SUM($F89:O89)</f>
        <v>3996.5</v>
      </c>
      <c r="AC89" s="139">
        <f>SUM($F89:P89)</f>
        <v>4048.31</v>
      </c>
      <c r="AD89" s="139">
        <f>SUM($F89:Q89)</f>
        <v>4048.31</v>
      </c>
    </row>
    <row r="90" spans="1:30" x14ac:dyDescent="0.25">
      <c r="A90" s="106">
        <v>85</v>
      </c>
      <c r="C90" s="1" t="s">
        <v>58</v>
      </c>
      <c r="E90" s="101"/>
      <c r="F90" s="71">
        <v>275</v>
      </c>
      <c r="G90" s="71">
        <v>332</v>
      </c>
      <c r="H90" s="71">
        <v>645.91999999999996</v>
      </c>
      <c r="I90" s="71">
        <v>0</v>
      </c>
      <c r="J90" s="71">
        <v>0</v>
      </c>
      <c r="K90" s="71">
        <v>0</v>
      </c>
      <c r="L90" s="71">
        <v>0</v>
      </c>
      <c r="M90" s="71">
        <v>0</v>
      </c>
      <c r="N90" s="71">
        <v>275</v>
      </c>
      <c r="O90" s="71">
        <v>0</v>
      </c>
      <c r="P90" s="71">
        <v>0</v>
      </c>
      <c r="Q90" s="71">
        <v>0</v>
      </c>
      <c r="R90" s="79">
        <f t="shared" si="41"/>
        <v>1527.92</v>
      </c>
      <c r="S90" s="139">
        <f t="shared" si="42"/>
        <v>275</v>
      </c>
      <c r="T90" s="139">
        <f>SUM($F90:G90)</f>
        <v>607</v>
      </c>
      <c r="U90" s="139">
        <f>SUM($F90:H90)</f>
        <v>1252.92</v>
      </c>
      <c r="V90" s="139">
        <f>SUM($F90:I90)</f>
        <v>1252.92</v>
      </c>
      <c r="W90" s="139">
        <f>SUM($F90:J90)</f>
        <v>1252.92</v>
      </c>
      <c r="X90" s="139">
        <f>SUM($F90:K90)</f>
        <v>1252.92</v>
      </c>
      <c r="Y90" s="139">
        <f>SUM($F90:L90)</f>
        <v>1252.92</v>
      </c>
      <c r="Z90" s="139">
        <f>SUM($F90:M90)</f>
        <v>1252.92</v>
      </c>
      <c r="AA90" s="139">
        <f>SUM($F90:N90)</f>
        <v>1527.92</v>
      </c>
      <c r="AB90" s="139">
        <f>SUM($F90:O90)</f>
        <v>1527.92</v>
      </c>
      <c r="AC90" s="139">
        <f>SUM($F90:P90)</f>
        <v>1527.92</v>
      </c>
      <c r="AD90" s="139">
        <f>SUM($F90:Q90)</f>
        <v>1527.92</v>
      </c>
    </row>
    <row r="91" spans="1:30" s="5" customFormat="1" x14ac:dyDescent="0.25">
      <c r="A91" s="106">
        <v>86</v>
      </c>
      <c r="B91" s="33" t="s">
        <v>59</v>
      </c>
      <c r="C91" s="33"/>
      <c r="D91" s="33"/>
      <c r="E91" s="96"/>
      <c r="F91" s="80">
        <f t="shared" ref="F91:Q91" si="43">SUM(F86:F90)</f>
        <v>10876.74</v>
      </c>
      <c r="G91" s="80">
        <f t="shared" si="43"/>
        <v>11409.92</v>
      </c>
      <c r="H91" s="80">
        <f t="shared" si="43"/>
        <v>12526.45</v>
      </c>
      <c r="I91" s="80">
        <f t="shared" si="43"/>
        <v>11867.65</v>
      </c>
      <c r="J91" s="80">
        <f t="shared" si="43"/>
        <v>10222.83</v>
      </c>
      <c r="K91" s="80">
        <f t="shared" si="43"/>
        <v>12760.02</v>
      </c>
      <c r="L91" s="80">
        <f t="shared" si="43"/>
        <v>10718.02</v>
      </c>
      <c r="M91" s="80">
        <f t="shared" si="43"/>
        <v>9962.09</v>
      </c>
      <c r="N91" s="80">
        <f t="shared" si="43"/>
        <v>12271.01</v>
      </c>
      <c r="O91" s="80">
        <f t="shared" si="43"/>
        <v>10183.59</v>
      </c>
      <c r="P91" s="80">
        <f t="shared" si="43"/>
        <v>10238.9</v>
      </c>
      <c r="Q91" s="80">
        <f t="shared" si="43"/>
        <v>11973.32</v>
      </c>
      <c r="R91" s="80">
        <f>SUM(R86:R90)</f>
        <v>135010.54</v>
      </c>
      <c r="S91" s="149">
        <f t="shared" ref="S91:AD91" si="44">SUM(S86:S90)</f>
        <v>10876.74</v>
      </c>
      <c r="T91" s="149">
        <f t="shared" si="44"/>
        <v>22286.66</v>
      </c>
      <c r="U91" s="149">
        <f t="shared" si="44"/>
        <v>34813.109999999993</v>
      </c>
      <c r="V91" s="149">
        <f t="shared" si="44"/>
        <v>46680.759999999995</v>
      </c>
      <c r="W91" s="149">
        <f t="shared" si="44"/>
        <v>56903.589999999989</v>
      </c>
      <c r="X91" s="149">
        <f t="shared" si="44"/>
        <v>69663.61</v>
      </c>
      <c r="Y91" s="149">
        <f t="shared" si="44"/>
        <v>80381.62999999999</v>
      </c>
      <c r="Z91" s="149">
        <f t="shared" si="44"/>
        <v>90343.72</v>
      </c>
      <c r="AA91" s="149">
        <f t="shared" si="44"/>
        <v>102614.73</v>
      </c>
      <c r="AB91" s="149">
        <f t="shared" si="44"/>
        <v>112798.32</v>
      </c>
      <c r="AC91" s="149">
        <f t="shared" si="44"/>
        <v>123037.22</v>
      </c>
      <c r="AD91" s="149">
        <f t="shared" si="44"/>
        <v>135010.54</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c r="F94" s="71">
        <v>914.84</v>
      </c>
      <c r="G94" s="71">
        <v>969.68</v>
      </c>
      <c r="H94" s="71">
        <v>942.26</v>
      </c>
      <c r="I94" s="71">
        <v>942.26</v>
      </c>
      <c r="J94" s="71">
        <v>942.26</v>
      </c>
      <c r="K94" s="71">
        <v>942.26</v>
      </c>
      <c r="L94" s="71">
        <v>942.26</v>
      </c>
      <c r="M94" s="71">
        <v>942.26</v>
      </c>
      <c r="N94" s="71">
        <v>942.26</v>
      </c>
      <c r="O94" s="71">
        <v>942.26</v>
      </c>
      <c r="P94" s="71">
        <v>942.26</v>
      </c>
      <c r="Q94" s="71">
        <v>942.26</v>
      </c>
      <c r="R94" s="79">
        <f t="shared" ref="R94:R95" si="45">SUM(F94:Q94)</f>
        <v>11307.12</v>
      </c>
      <c r="S94" s="139">
        <f t="shared" ref="S94:S95" si="46">SUM(F94)</f>
        <v>914.84</v>
      </c>
      <c r="T94" s="139">
        <f>SUM($F94:G94)</f>
        <v>1884.52</v>
      </c>
      <c r="U94" s="139">
        <f>SUM($F94:H94)</f>
        <v>2826.7799999999997</v>
      </c>
      <c r="V94" s="139">
        <f>SUM($F94:I94)</f>
        <v>3769.04</v>
      </c>
      <c r="W94" s="139">
        <f>SUM($F94:J94)</f>
        <v>4711.3</v>
      </c>
      <c r="X94" s="139">
        <f>SUM($F94:K94)</f>
        <v>5653.56</v>
      </c>
      <c r="Y94" s="139">
        <f>SUM($F94:L94)</f>
        <v>6595.8200000000006</v>
      </c>
      <c r="Z94" s="139">
        <f>SUM($F94:M94)</f>
        <v>7538.0800000000008</v>
      </c>
      <c r="AA94" s="139">
        <f>SUM($F94:N94)</f>
        <v>8480.34</v>
      </c>
      <c r="AB94" s="139">
        <f>SUM($F94:O94)</f>
        <v>9422.6</v>
      </c>
      <c r="AC94" s="139">
        <f>SUM($F94:P94)</f>
        <v>10364.86</v>
      </c>
      <c r="AD94" s="139">
        <f>SUM($F94:Q94)</f>
        <v>11307.12</v>
      </c>
    </row>
    <row r="95" spans="1:30" x14ac:dyDescent="0.25">
      <c r="A95" s="106">
        <v>90</v>
      </c>
      <c r="C95" s="1" t="s">
        <v>62</v>
      </c>
      <c r="E95" s="101"/>
      <c r="F95" s="71">
        <v>416.66</v>
      </c>
      <c r="G95" s="71">
        <v>416.66</v>
      </c>
      <c r="H95" s="71">
        <v>416.66</v>
      </c>
      <c r="I95" s="71">
        <v>416.66</v>
      </c>
      <c r="J95" s="71">
        <v>416.66</v>
      </c>
      <c r="K95" s="71">
        <v>416.66</v>
      </c>
      <c r="L95" s="71">
        <v>416.66</v>
      </c>
      <c r="M95" s="71">
        <v>416.66</v>
      </c>
      <c r="N95" s="71">
        <v>416.66</v>
      </c>
      <c r="O95" s="71">
        <v>416.66</v>
      </c>
      <c r="P95" s="71">
        <v>416.66</v>
      </c>
      <c r="Q95" s="71">
        <v>416.66</v>
      </c>
      <c r="R95" s="79">
        <f t="shared" si="45"/>
        <v>4999.9199999999992</v>
      </c>
      <c r="S95" s="139">
        <f t="shared" si="46"/>
        <v>416.66</v>
      </c>
      <c r="T95" s="139">
        <f>SUM($F95:G95)</f>
        <v>833.32</v>
      </c>
      <c r="U95" s="139">
        <f>SUM($F95:H95)</f>
        <v>1249.98</v>
      </c>
      <c r="V95" s="139">
        <f>SUM($F95:I95)</f>
        <v>1666.64</v>
      </c>
      <c r="W95" s="139">
        <f>SUM($F95:J95)</f>
        <v>2083.3000000000002</v>
      </c>
      <c r="X95" s="139">
        <f>SUM($F95:K95)</f>
        <v>2499.96</v>
      </c>
      <c r="Y95" s="139">
        <f>SUM($F95:L95)</f>
        <v>2916.62</v>
      </c>
      <c r="Z95" s="139">
        <f>SUM($F95:M95)</f>
        <v>3333.2799999999997</v>
      </c>
      <c r="AA95" s="139">
        <f>SUM($F95:N95)</f>
        <v>3749.9399999999996</v>
      </c>
      <c r="AB95" s="139">
        <f>SUM($F95:O95)</f>
        <v>4166.5999999999995</v>
      </c>
      <c r="AC95" s="139">
        <f>SUM($F95:P95)</f>
        <v>4583.2599999999993</v>
      </c>
      <c r="AD95" s="139">
        <f>SUM($F95:Q95)</f>
        <v>4999.9199999999992</v>
      </c>
    </row>
    <row r="96" spans="1:30" s="5" customFormat="1" x14ac:dyDescent="0.25">
      <c r="A96" s="106">
        <v>91</v>
      </c>
      <c r="B96" s="33" t="s">
        <v>63</v>
      </c>
      <c r="C96" s="33"/>
      <c r="D96" s="33"/>
      <c r="E96" s="96"/>
      <c r="F96" s="80">
        <f t="shared" ref="F96:Q96" si="47">SUM(F94:F95)</f>
        <v>1331.5</v>
      </c>
      <c r="G96" s="80">
        <f t="shared" si="47"/>
        <v>1386.34</v>
      </c>
      <c r="H96" s="80">
        <f t="shared" si="47"/>
        <v>1358.92</v>
      </c>
      <c r="I96" s="80">
        <f t="shared" si="47"/>
        <v>1358.92</v>
      </c>
      <c r="J96" s="80">
        <f t="shared" si="47"/>
        <v>1358.92</v>
      </c>
      <c r="K96" s="80">
        <f t="shared" si="47"/>
        <v>1358.92</v>
      </c>
      <c r="L96" s="80">
        <f t="shared" si="47"/>
        <v>1358.92</v>
      </c>
      <c r="M96" s="80">
        <f t="shared" si="47"/>
        <v>1358.92</v>
      </c>
      <c r="N96" s="80">
        <f t="shared" si="47"/>
        <v>1358.92</v>
      </c>
      <c r="O96" s="80">
        <f t="shared" si="47"/>
        <v>1358.92</v>
      </c>
      <c r="P96" s="80">
        <f t="shared" si="47"/>
        <v>1358.92</v>
      </c>
      <c r="Q96" s="80">
        <f t="shared" si="47"/>
        <v>1358.92</v>
      </c>
      <c r="R96" s="80">
        <f>SUM(R94:R95)</f>
        <v>16307.04</v>
      </c>
      <c r="S96" s="149">
        <f t="shared" ref="S96:AD96" si="48">SUM(S94:S95)</f>
        <v>1331.5</v>
      </c>
      <c r="T96" s="149">
        <f t="shared" si="48"/>
        <v>2717.84</v>
      </c>
      <c r="U96" s="149">
        <f t="shared" si="48"/>
        <v>4076.7599999999998</v>
      </c>
      <c r="V96" s="149">
        <f t="shared" si="48"/>
        <v>5435.68</v>
      </c>
      <c r="W96" s="149">
        <f t="shared" si="48"/>
        <v>6794.6</v>
      </c>
      <c r="X96" s="149">
        <f t="shared" si="48"/>
        <v>8153.52</v>
      </c>
      <c r="Y96" s="149">
        <f t="shared" si="48"/>
        <v>9512.44</v>
      </c>
      <c r="Z96" s="149">
        <f t="shared" si="48"/>
        <v>10871.36</v>
      </c>
      <c r="AA96" s="149">
        <f t="shared" si="48"/>
        <v>12230.279999999999</v>
      </c>
      <c r="AB96" s="149">
        <f t="shared" si="48"/>
        <v>13589.2</v>
      </c>
      <c r="AC96" s="149">
        <f t="shared" si="48"/>
        <v>14948.119999999999</v>
      </c>
      <c r="AD96" s="149">
        <f t="shared" si="48"/>
        <v>16307.04</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c r="F99" s="71">
        <v>1094.42</v>
      </c>
      <c r="G99" s="71">
        <v>1160.0999999999999</v>
      </c>
      <c r="H99" s="71">
        <v>1127.26</v>
      </c>
      <c r="I99" s="71">
        <v>1127.26</v>
      </c>
      <c r="J99" s="71">
        <v>1127.26</v>
      </c>
      <c r="K99" s="71">
        <v>1127.26</v>
      </c>
      <c r="L99" s="71">
        <v>1127.26</v>
      </c>
      <c r="M99" s="71">
        <v>1127.26</v>
      </c>
      <c r="N99" s="71">
        <v>1127.26</v>
      </c>
      <c r="O99" s="71">
        <v>1127.26</v>
      </c>
      <c r="P99" s="71">
        <v>1127.26</v>
      </c>
      <c r="Q99" s="71">
        <v>1127.26</v>
      </c>
      <c r="R99" s="79">
        <f t="shared" ref="R99:R100" si="49">SUM(F99:Q99)</f>
        <v>13527.12</v>
      </c>
      <c r="S99" s="139">
        <f t="shared" ref="S99:S100" si="50">SUM(F99)</f>
        <v>1094.42</v>
      </c>
      <c r="T99" s="139">
        <f>SUM($F99:G99)</f>
        <v>2254.52</v>
      </c>
      <c r="U99" s="139">
        <f>SUM($F99:H99)</f>
        <v>3381.7799999999997</v>
      </c>
      <c r="V99" s="139">
        <f>SUM($F99:I99)</f>
        <v>4509.04</v>
      </c>
      <c r="W99" s="139">
        <f>SUM($F99:J99)</f>
        <v>5636.3</v>
      </c>
      <c r="X99" s="139">
        <f>SUM($F99:K99)</f>
        <v>6763.56</v>
      </c>
      <c r="Y99" s="139">
        <f>SUM($F99:L99)</f>
        <v>7890.8200000000006</v>
      </c>
      <c r="Z99" s="139">
        <f>SUM($F99:M99)</f>
        <v>9018.08</v>
      </c>
      <c r="AA99" s="139">
        <f>SUM($F99:N99)</f>
        <v>10145.34</v>
      </c>
      <c r="AB99" s="139">
        <f>SUM($F99:O99)</f>
        <v>11272.6</v>
      </c>
      <c r="AC99" s="139">
        <f>SUM($F99:P99)</f>
        <v>12399.86</v>
      </c>
      <c r="AD99" s="139">
        <f>SUM($F99:Q99)</f>
        <v>13527.12</v>
      </c>
    </row>
    <row r="100" spans="1:30" x14ac:dyDescent="0.25">
      <c r="A100" s="106">
        <v>95</v>
      </c>
      <c r="C100" s="1" t="s">
        <v>65</v>
      </c>
      <c r="E100" s="100"/>
      <c r="F100" s="71">
        <v>0</v>
      </c>
      <c r="G100" s="71">
        <v>187.5</v>
      </c>
      <c r="H100" s="71">
        <v>112.5</v>
      </c>
      <c r="I100" s="71">
        <v>0</v>
      </c>
      <c r="J100" s="71">
        <v>0</v>
      </c>
      <c r="K100" s="71">
        <v>165</v>
      </c>
      <c r="L100" s="71">
        <v>0</v>
      </c>
      <c r="M100" s="71">
        <v>0</v>
      </c>
      <c r="N100" s="71">
        <v>0</v>
      </c>
      <c r="O100" s="71">
        <v>0</v>
      </c>
      <c r="P100" s="71">
        <v>183.75</v>
      </c>
      <c r="Q100" s="71">
        <v>0</v>
      </c>
      <c r="R100" s="79">
        <f t="shared" si="49"/>
        <v>648.75</v>
      </c>
      <c r="S100" s="139">
        <f t="shared" si="50"/>
        <v>0</v>
      </c>
      <c r="T100" s="139">
        <f>SUM($F100:G100)</f>
        <v>187.5</v>
      </c>
      <c r="U100" s="139">
        <f>SUM($F100:H100)</f>
        <v>300</v>
      </c>
      <c r="V100" s="139">
        <f>SUM($F100:I100)</f>
        <v>300</v>
      </c>
      <c r="W100" s="139">
        <f>SUM($F100:J100)</f>
        <v>300</v>
      </c>
      <c r="X100" s="139">
        <f>SUM($F100:K100)</f>
        <v>465</v>
      </c>
      <c r="Y100" s="139">
        <f>SUM($F100:L100)</f>
        <v>465</v>
      </c>
      <c r="Z100" s="139">
        <f>SUM($F100:M100)</f>
        <v>465</v>
      </c>
      <c r="AA100" s="139">
        <f>SUM($F100:N100)</f>
        <v>465</v>
      </c>
      <c r="AB100" s="139">
        <f>SUM($F100:O100)</f>
        <v>465</v>
      </c>
      <c r="AC100" s="139">
        <f>SUM($F100:P100)</f>
        <v>648.75</v>
      </c>
      <c r="AD100" s="139">
        <f>SUM($F100:Q100)</f>
        <v>648.75</v>
      </c>
    </row>
    <row r="101" spans="1:30" s="5" customFormat="1" x14ac:dyDescent="0.25">
      <c r="A101" s="106">
        <v>96</v>
      </c>
      <c r="B101" s="33" t="s">
        <v>66</v>
      </c>
      <c r="C101" s="33"/>
      <c r="D101" s="33"/>
      <c r="E101" s="96"/>
      <c r="F101" s="80">
        <f t="shared" ref="F101:Q101" si="51">SUM(F99:F100)</f>
        <v>1094.42</v>
      </c>
      <c r="G101" s="80">
        <f t="shared" si="51"/>
        <v>1347.6</v>
      </c>
      <c r="H101" s="80">
        <f t="shared" si="51"/>
        <v>1239.76</v>
      </c>
      <c r="I101" s="80">
        <f t="shared" si="51"/>
        <v>1127.26</v>
      </c>
      <c r="J101" s="80">
        <f t="shared" si="51"/>
        <v>1127.26</v>
      </c>
      <c r="K101" s="80">
        <f t="shared" si="51"/>
        <v>1292.26</v>
      </c>
      <c r="L101" s="80">
        <f t="shared" si="51"/>
        <v>1127.26</v>
      </c>
      <c r="M101" s="80">
        <f t="shared" si="51"/>
        <v>1127.26</v>
      </c>
      <c r="N101" s="80">
        <f t="shared" si="51"/>
        <v>1127.26</v>
      </c>
      <c r="O101" s="80">
        <f t="shared" si="51"/>
        <v>1127.26</v>
      </c>
      <c r="P101" s="80">
        <f t="shared" si="51"/>
        <v>1311.01</v>
      </c>
      <c r="Q101" s="80">
        <f t="shared" si="51"/>
        <v>1127.26</v>
      </c>
      <c r="R101" s="80">
        <f>SUM(R99:R100)</f>
        <v>14175.87</v>
      </c>
      <c r="S101" s="149">
        <f t="shared" ref="S101:AD101" si="52">SUM(S99:S100)</f>
        <v>1094.42</v>
      </c>
      <c r="T101" s="149">
        <f t="shared" si="52"/>
        <v>2442.02</v>
      </c>
      <c r="U101" s="149">
        <f t="shared" si="52"/>
        <v>3681.7799999999997</v>
      </c>
      <c r="V101" s="149">
        <f t="shared" si="52"/>
        <v>4809.04</v>
      </c>
      <c r="W101" s="149">
        <f t="shared" si="52"/>
        <v>5936.3</v>
      </c>
      <c r="X101" s="149">
        <f t="shared" si="52"/>
        <v>7228.56</v>
      </c>
      <c r="Y101" s="149">
        <f t="shared" si="52"/>
        <v>8355.82</v>
      </c>
      <c r="Z101" s="149">
        <f t="shared" si="52"/>
        <v>9483.08</v>
      </c>
      <c r="AA101" s="149">
        <f t="shared" si="52"/>
        <v>10610.34</v>
      </c>
      <c r="AB101" s="149">
        <f t="shared" si="52"/>
        <v>11737.6</v>
      </c>
      <c r="AC101" s="149">
        <f t="shared" si="52"/>
        <v>13048.61</v>
      </c>
      <c r="AD101" s="149">
        <f t="shared" si="52"/>
        <v>14175.87</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c r="F104" s="71">
        <v>2689.76</v>
      </c>
      <c r="G104" s="71">
        <v>2851.24</v>
      </c>
      <c r="H104" s="71">
        <v>2770.5</v>
      </c>
      <c r="I104" s="71">
        <v>2770.5</v>
      </c>
      <c r="J104" s="71">
        <v>2770.5</v>
      </c>
      <c r="K104" s="71">
        <v>2770.5</v>
      </c>
      <c r="L104" s="71">
        <v>2770.5</v>
      </c>
      <c r="M104" s="71">
        <v>2770.5</v>
      </c>
      <c r="N104" s="71">
        <v>2770.5</v>
      </c>
      <c r="O104" s="71">
        <v>2770.5</v>
      </c>
      <c r="P104" s="71">
        <v>2770.5</v>
      </c>
      <c r="Q104" s="71">
        <v>2770.5</v>
      </c>
      <c r="R104" s="79">
        <f t="shared" ref="R104:R109" si="53">SUM(F104:Q104)</f>
        <v>33246</v>
      </c>
      <c r="S104" s="139">
        <f t="shared" ref="S104:S109" si="54">SUM(F104)</f>
        <v>2689.76</v>
      </c>
      <c r="T104" s="139">
        <f>SUM($F104:G104)</f>
        <v>5541</v>
      </c>
      <c r="U104" s="139">
        <f>SUM($F104:H104)</f>
        <v>8311.5</v>
      </c>
      <c r="V104" s="139">
        <f>SUM($F104:I104)</f>
        <v>11082</v>
      </c>
      <c r="W104" s="139">
        <f>SUM($F104:J104)</f>
        <v>13852.5</v>
      </c>
      <c r="X104" s="139">
        <f>SUM($F104:K104)</f>
        <v>16623</v>
      </c>
      <c r="Y104" s="139">
        <f>SUM($F104:L104)</f>
        <v>19393.5</v>
      </c>
      <c r="Z104" s="139">
        <f>SUM($F104:M104)</f>
        <v>22164</v>
      </c>
      <c r="AA104" s="139">
        <f>SUM($F104:N104)</f>
        <v>24934.5</v>
      </c>
      <c r="AB104" s="139">
        <f>SUM($F104:O104)</f>
        <v>27705</v>
      </c>
      <c r="AC104" s="139">
        <f>SUM($F104:P104)</f>
        <v>30475.5</v>
      </c>
      <c r="AD104" s="139">
        <f>SUM($F104:Q104)</f>
        <v>33246</v>
      </c>
    </row>
    <row r="105" spans="1:30" x14ac:dyDescent="0.25">
      <c r="A105" s="106">
        <v>100</v>
      </c>
      <c r="C105" s="1" t="s">
        <v>56</v>
      </c>
      <c r="E105" s="101"/>
      <c r="F105" s="71">
        <v>411.53</v>
      </c>
      <c r="G105" s="71">
        <v>411.53</v>
      </c>
      <c r="H105" s="71">
        <v>434.29</v>
      </c>
      <c r="I105" s="71">
        <v>423.88</v>
      </c>
      <c r="J105" s="71">
        <v>423.88</v>
      </c>
      <c r="K105" s="71">
        <v>423.88</v>
      </c>
      <c r="L105" s="71">
        <v>423.88</v>
      </c>
      <c r="M105" s="71">
        <v>423.88</v>
      </c>
      <c r="N105" s="71">
        <v>423.88</v>
      </c>
      <c r="O105" s="71">
        <v>423.88</v>
      </c>
      <c r="P105" s="71">
        <v>423.88</v>
      </c>
      <c r="Q105" s="71">
        <v>396.18</v>
      </c>
      <c r="R105" s="79">
        <f t="shared" si="53"/>
        <v>5044.5700000000006</v>
      </c>
      <c r="S105" s="139">
        <f t="shared" si="54"/>
        <v>411.53</v>
      </c>
      <c r="T105" s="139">
        <f>SUM($F105:G105)</f>
        <v>823.06</v>
      </c>
      <c r="U105" s="139">
        <f>SUM($F105:H105)</f>
        <v>1257.3499999999999</v>
      </c>
      <c r="V105" s="139">
        <f>SUM($F105:I105)</f>
        <v>1681.23</v>
      </c>
      <c r="W105" s="139">
        <f>SUM($F105:J105)</f>
        <v>2105.11</v>
      </c>
      <c r="X105" s="139">
        <f>SUM($F105:K105)</f>
        <v>2528.9900000000002</v>
      </c>
      <c r="Y105" s="139">
        <f>SUM($F105:L105)</f>
        <v>2952.8700000000003</v>
      </c>
      <c r="Z105" s="139">
        <f>SUM($F105:M105)</f>
        <v>3376.7500000000005</v>
      </c>
      <c r="AA105" s="139">
        <f>SUM($F105:N105)</f>
        <v>3800.6300000000006</v>
      </c>
      <c r="AB105" s="139">
        <f>SUM($F105:O105)</f>
        <v>4224.51</v>
      </c>
      <c r="AC105" s="139">
        <f>SUM($F105:P105)</f>
        <v>4648.3900000000003</v>
      </c>
      <c r="AD105" s="139">
        <f>SUM($F105:Q105)</f>
        <v>5044.5700000000006</v>
      </c>
    </row>
    <row r="106" spans="1:30" x14ac:dyDescent="0.25">
      <c r="A106" s="106">
        <v>101</v>
      </c>
      <c r="C106" s="1" t="s">
        <v>58</v>
      </c>
      <c r="E106" s="101"/>
      <c r="F106" s="71">
        <v>0</v>
      </c>
      <c r="G106" s="71">
        <v>0</v>
      </c>
      <c r="H106" s="71">
        <v>0</v>
      </c>
      <c r="I106" s="71">
        <v>0</v>
      </c>
      <c r="J106" s="71">
        <v>0</v>
      </c>
      <c r="K106" s="71">
        <v>0</v>
      </c>
      <c r="L106" s="71">
        <v>164</v>
      </c>
      <c r="M106" s="71">
        <v>0</v>
      </c>
      <c r="N106" s="71">
        <v>195</v>
      </c>
      <c r="O106" s="71">
        <v>0</v>
      </c>
      <c r="P106" s="71">
        <v>28</v>
      </c>
      <c r="Q106" s="71">
        <v>330.06</v>
      </c>
      <c r="R106" s="79">
        <f t="shared" si="53"/>
        <v>717.06</v>
      </c>
      <c r="S106" s="139">
        <f t="shared" si="54"/>
        <v>0</v>
      </c>
      <c r="T106" s="139">
        <f>SUM($F106:G106)</f>
        <v>0</v>
      </c>
      <c r="U106" s="139">
        <f>SUM($F106:H106)</f>
        <v>0</v>
      </c>
      <c r="V106" s="139">
        <f>SUM($F106:I106)</f>
        <v>0</v>
      </c>
      <c r="W106" s="139">
        <f>SUM($F106:J106)</f>
        <v>0</v>
      </c>
      <c r="X106" s="139">
        <f>SUM($F106:K106)</f>
        <v>0</v>
      </c>
      <c r="Y106" s="139">
        <f>SUM($F106:L106)</f>
        <v>164</v>
      </c>
      <c r="Z106" s="139">
        <f>SUM($F106:M106)</f>
        <v>164</v>
      </c>
      <c r="AA106" s="139">
        <f>SUM($F106:N106)</f>
        <v>359</v>
      </c>
      <c r="AB106" s="139">
        <f>SUM($F106:O106)</f>
        <v>359</v>
      </c>
      <c r="AC106" s="139">
        <f>SUM($F106:P106)</f>
        <v>387</v>
      </c>
      <c r="AD106" s="139">
        <f>SUM($F106:Q106)</f>
        <v>717.06</v>
      </c>
    </row>
    <row r="107" spans="1:30" x14ac:dyDescent="0.25">
      <c r="A107" s="106">
        <v>102</v>
      </c>
      <c r="C107" s="1" t="s">
        <v>57</v>
      </c>
      <c r="E107" s="101"/>
      <c r="F107" s="71">
        <v>209.06</v>
      </c>
      <c r="G107" s="71">
        <v>204.23</v>
      </c>
      <c r="H107" s="71">
        <v>403.07</v>
      </c>
      <c r="I107" s="71">
        <v>513.84</v>
      </c>
      <c r="J107" s="71">
        <v>598.59</v>
      </c>
      <c r="K107" s="71">
        <v>54.38</v>
      </c>
      <c r="L107" s="71">
        <v>0</v>
      </c>
      <c r="M107" s="71">
        <v>16.829999999999998</v>
      </c>
      <c r="N107" s="71">
        <v>0</v>
      </c>
      <c r="O107" s="71">
        <v>0</v>
      </c>
      <c r="P107" s="71">
        <v>0</v>
      </c>
      <c r="Q107" s="71">
        <v>0</v>
      </c>
      <c r="R107" s="79">
        <f t="shared" si="53"/>
        <v>2000</v>
      </c>
      <c r="S107" s="139">
        <f t="shared" si="54"/>
        <v>209.06</v>
      </c>
      <c r="T107" s="139">
        <f>SUM($F107:G107)</f>
        <v>413.28999999999996</v>
      </c>
      <c r="U107" s="139">
        <f>SUM($F107:H107)</f>
        <v>816.3599999999999</v>
      </c>
      <c r="V107" s="139">
        <f>SUM($F107:I107)</f>
        <v>1330.1999999999998</v>
      </c>
      <c r="W107" s="139">
        <f>SUM($F107:J107)</f>
        <v>1928.79</v>
      </c>
      <c r="X107" s="139">
        <f>SUM($F107:K107)</f>
        <v>1983.17</v>
      </c>
      <c r="Y107" s="139">
        <f>SUM($F107:L107)</f>
        <v>1983.17</v>
      </c>
      <c r="Z107" s="139">
        <f>SUM($F107:M107)</f>
        <v>2000</v>
      </c>
      <c r="AA107" s="139">
        <f>SUM($F107:N107)</f>
        <v>2000</v>
      </c>
      <c r="AB107" s="139">
        <f>SUM($F107:O107)</f>
        <v>2000</v>
      </c>
      <c r="AC107" s="139">
        <f>SUM($F107:P107)</f>
        <v>2000</v>
      </c>
      <c r="AD107" s="139">
        <f>SUM($F107:Q107)</f>
        <v>2000</v>
      </c>
    </row>
    <row r="108" spans="1:30" x14ac:dyDescent="0.25">
      <c r="A108" s="106">
        <v>103</v>
      </c>
      <c r="C108" s="1" t="s">
        <v>62</v>
      </c>
      <c r="E108" s="101"/>
      <c r="F108" s="71">
        <v>0</v>
      </c>
      <c r="G108" s="71">
        <v>86.7</v>
      </c>
      <c r="H108" s="71">
        <v>129.54</v>
      </c>
      <c r="I108" s="71">
        <v>0</v>
      </c>
      <c r="J108" s="71">
        <v>0</v>
      </c>
      <c r="K108" s="71">
        <v>243.27</v>
      </c>
      <c r="L108" s="71">
        <v>0</v>
      </c>
      <c r="M108" s="71">
        <v>139.31</v>
      </c>
      <c r="N108" s="71">
        <v>92.13</v>
      </c>
      <c r="O108" s="71">
        <v>128.21</v>
      </c>
      <c r="P108" s="71">
        <v>170.94</v>
      </c>
      <c r="Q108" s="71">
        <v>670.45</v>
      </c>
      <c r="R108" s="79">
        <f t="shared" si="53"/>
        <v>1660.55</v>
      </c>
      <c r="S108" s="139">
        <f t="shared" si="54"/>
        <v>0</v>
      </c>
      <c r="T108" s="139">
        <f>SUM($F108:G108)</f>
        <v>86.7</v>
      </c>
      <c r="U108" s="139">
        <f>SUM($F108:H108)</f>
        <v>216.24</v>
      </c>
      <c r="V108" s="139">
        <f>SUM($F108:I108)</f>
        <v>216.24</v>
      </c>
      <c r="W108" s="139">
        <f>SUM($F108:J108)</f>
        <v>216.24</v>
      </c>
      <c r="X108" s="139">
        <f>SUM($F108:K108)</f>
        <v>459.51</v>
      </c>
      <c r="Y108" s="139">
        <f>SUM($F108:L108)</f>
        <v>459.51</v>
      </c>
      <c r="Z108" s="139">
        <f>SUM($F108:M108)</f>
        <v>598.81999999999994</v>
      </c>
      <c r="AA108" s="139">
        <f>SUM($F108:N108)</f>
        <v>690.94999999999993</v>
      </c>
      <c r="AB108" s="139">
        <f>SUM($F108:O108)</f>
        <v>819.16</v>
      </c>
      <c r="AC108" s="139">
        <f>SUM($F108:P108)</f>
        <v>990.09999999999991</v>
      </c>
      <c r="AD108" s="139">
        <f>SUM($F108:Q108)</f>
        <v>1660.55</v>
      </c>
    </row>
    <row r="109" spans="1:30" x14ac:dyDescent="0.25">
      <c r="A109" s="106">
        <v>104</v>
      </c>
      <c r="C109" s="1" t="s">
        <v>68</v>
      </c>
      <c r="E109" s="101"/>
      <c r="F109" s="71">
        <v>87.69</v>
      </c>
      <c r="G109" s="71">
        <v>0</v>
      </c>
      <c r="H109" s="71">
        <v>175.38</v>
      </c>
      <c r="I109" s="71">
        <v>0</v>
      </c>
      <c r="J109" s="71">
        <v>175.38</v>
      </c>
      <c r="K109" s="71">
        <v>87.69</v>
      </c>
      <c r="L109" s="71">
        <v>87.69</v>
      </c>
      <c r="M109" s="71">
        <v>87.69</v>
      </c>
      <c r="N109" s="71">
        <v>87.69</v>
      </c>
      <c r="O109" s="71">
        <v>87.69</v>
      </c>
      <c r="P109" s="71">
        <v>87.69</v>
      </c>
      <c r="Q109" s="71">
        <v>92.95</v>
      </c>
      <c r="R109" s="79">
        <f t="shared" si="53"/>
        <v>1057.5400000000002</v>
      </c>
      <c r="S109" s="139">
        <f t="shared" si="54"/>
        <v>87.69</v>
      </c>
      <c r="T109" s="139">
        <f>SUM($F109:G109)</f>
        <v>87.69</v>
      </c>
      <c r="U109" s="139">
        <f>SUM($F109:H109)</f>
        <v>263.07</v>
      </c>
      <c r="V109" s="139">
        <f>SUM($F109:I109)</f>
        <v>263.07</v>
      </c>
      <c r="W109" s="139">
        <f>SUM($F109:J109)</f>
        <v>438.45</v>
      </c>
      <c r="X109" s="139">
        <f>SUM($F109:K109)</f>
        <v>526.14</v>
      </c>
      <c r="Y109" s="139">
        <f>SUM($F109:L109)</f>
        <v>613.82999999999993</v>
      </c>
      <c r="Z109" s="139">
        <f>SUM($F109:M109)</f>
        <v>701.52</v>
      </c>
      <c r="AA109" s="139">
        <f>SUM($F109:N109)</f>
        <v>789.21</v>
      </c>
      <c r="AB109" s="139">
        <f>SUM($F109:O109)</f>
        <v>876.90000000000009</v>
      </c>
      <c r="AC109" s="139">
        <f>SUM($F109:P109)</f>
        <v>964.59000000000015</v>
      </c>
      <c r="AD109" s="139">
        <f>SUM($F109:Q109)</f>
        <v>1057.5400000000002</v>
      </c>
    </row>
    <row r="110" spans="1:30" s="5" customFormat="1" x14ac:dyDescent="0.25">
      <c r="A110" s="106">
        <v>105</v>
      </c>
      <c r="B110" s="33" t="s">
        <v>69</v>
      </c>
      <c r="C110" s="33"/>
      <c r="D110" s="33"/>
      <c r="E110" s="96"/>
      <c r="F110" s="80">
        <f t="shared" ref="F110:Q110" si="55">SUM(F104:F109)</f>
        <v>3398.04</v>
      </c>
      <c r="G110" s="80">
        <f t="shared" si="55"/>
        <v>3553.6999999999994</v>
      </c>
      <c r="H110" s="80">
        <f t="shared" si="55"/>
        <v>3912.78</v>
      </c>
      <c r="I110" s="80">
        <f t="shared" si="55"/>
        <v>3708.2200000000003</v>
      </c>
      <c r="J110" s="80">
        <f t="shared" si="55"/>
        <v>3968.3500000000004</v>
      </c>
      <c r="K110" s="80">
        <f t="shared" si="55"/>
        <v>3579.7200000000003</v>
      </c>
      <c r="L110" s="80">
        <f t="shared" si="55"/>
        <v>3446.07</v>
      </c>
      <c r="M110" s="80">
        <f t="shared" si="55"/>
        <v>3438.21</v>
      </c>
      <c r="N110" s="80">
        <f t="shared" si="55"/>
        <v>3569.2000000000003</v>
      </c>
      <c r="O110" s="80">
        <f t="shared" si="55"/>
        <v>3410.28</v>
      </c>
      <c r="P110" s="80">
        <f t="shared" si="55"/>
        <v>3481.01</v>
      </c>
      <c r="Q110" s="80">
        <f t="shared" si="55"/>
        <v>4260.1399999999994</v>
      </c>
      <c r="R110" s="80">
        <f>SUM(R104:R109)</f>
        <v>43725.72</v>
      </c>
      <c r="S110" s="149">
        <f t="shared" ref="S110:AD110" si="56">SUM(S104:S109)</f>
        <v>3398.04</v>
      </c>
      <c r="T110" s="149">
        <f t="shared" si="56"/>
        <v>6951.7399999999989</v>
      </c>
      <c r="U110" s="149">
        <f t="shared" si="56"/>
        <v>10864.52</v>
      </c>
      <c r="V110" s="149">
        <f t="shared" si="56"/>
        <v>14572.74</v>
      </c>
      <c r="W110" s="149">
        <f t="shared" si="56"/>
        <v>18541.090000000004</v>
      </c>
      <c r="X110" s="149">
        <f t="shared" si="56"/>
        <v>22120.81</v>
      </c>
      <c r="Y110" s="149">
        <f t="shared" si="56"/>
        <v>25566.879999999997</v>
      </c>
      <c r="Z110" s="149">
        <f t="shared" si="56"/>
        <v>29005.09</v>
      </c>
      <c r="AA110" s="149">
        <f t="shared" si="56"/>
        <v>32574.29</v>
      </c>
      <c r="AB110" s="149">
        <f t="shared" si="56"/>
        <v>35984.570000000007</v>
      </c>
      <c r="AC110" s="149">
        <f t="shared" si="56"/>
        <v>39465.58</v>
      </c>
      <c r="AD110" s="149">
        <f t="shared" si="56"/>
        <v>43725.72</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c r="F113" s="71">
        <v>798.34</v>
      </c>
      <c r="G113" s="71">
        <v>798.34</v>
      </c>
      <c r="H113" s="71">
        <v>798.34</v>
      </c>
      <c r="I113" s="71">
        <v>798.34</v>
      </c>
      <c r="J113" s="71">
        <v>798.34</v>
      </c>
      <c r="K113" s="71">
        <v>798.34</v>
      </c>
      <c r="L113" s="71">
        <v>798.34</v>
      </c>
      <c r="M113" s="71">
        <v>798.34</v>
      </c>
      <c r="N113" s="71">
        <v>798.34</v>
      </c>
      <c r="O113" s="71">
        <v>798.34</v>
      </c>
      <c r="P113" s="71">
        <v>798.34</v>
      </c>
      <c r="Q113" s="71">
        <v>798.34</v>
      </c>
      <c r="R113" s="79">
        <f t="shared" ref="R113:R118" si="57">SUM(F113:Q113)</f>
        <v>9580.08</v>
      </c>
      <c r="S113" s="139">
        <f t="shared" ref="S113:S118" si="58">SUM(F113)</f>
        <v>798.34</v>
      </c>
      <c r="T113" s="139">
        <f>SUM($F113:G113)</f>
        <v>1596.68</v>
      </c>
      <c r="U113" s="139">
        <f>SUM($F113:H113)</f>
        <v>2395.02</v>
      </c>
      <c r="V113" s="139">
        <f>SUM($F113:I113)</f>
        <v>3193.36</v>
      </c>
      <c r="W113" s="139">
        <f>SUM($F113:J113)</f>
        <v>3991.7000000000003</v>
      </c>
      <c r="X113" s="139">
        <f>SUM($F113:K113)</f>
        <v>4790.04</v>
      </c>
      <c r="Y113" s="139">
        <f>SUM($F113:L113)</f>
        <v>5588.38</v>
      </c>
      <c r="Z113" s="139">
        <f>SUM($F113:M113)</f>
        <v>6386.72</v>
      </c>
      <c r="AA113" s="139">
        <f>SUM($F113:N113)</f>
        <v>7185.06</v>
      </c>
      <c r="AB113" s="139">
        <f>SUM($F113:O113)</f>
        <v>7983.4000000000005</v>
      </c>
      <c r="AC113" s="139">
        <f>SUM($F113:P113)</f>
        <v>8781.74</v>
      </c>
      <c r="AD113" s="139">
        <f>SUM($F113:Q113)</f>
        <v>9580.08</v>
      </c>
    </row>
    <row r="114" spans="1:30" x14ac:dyDescent="0.25">
      <c r="A114" s="106">
        <v>109</v>
      </c>
      <c r="C114" s="1" t="s">
        <v>72</v>
      </c>
      <c r="E114" s="101"/>
      <c r="F114" s="71">
        <v>0</v>
      </c>
      <c r="G114" s="71">
        <v>0</v>
      </c>
      <c r="H114" s="71">
        <v>0</v>
      </c>
      <c r="I114" s="71">
        <v>0</v>
      </c>
      <c r="J114" s="71">
        <v>0</v>
      </c>
      <c r="K114" s="71">
        <v>0</v>
      </c>
      <c r="L114" s="71">
        <v>100</v>
      </c>
      <c r="M114" s="71">
        <v>100</v>
      </c>
      <c r="N114" s="71">
        <v>0</v>
      </c>
      <c r="O114" s="71">
        <v>0</v>
      </c>
      <c r="P114" s="71">
        <v>0</v>
      </c>
      <c r="Q114" s="71">
        <v>0</v>
      </c>
      <c r="R114" s="79">
        <f t="shared" si="57"/>
        <v>200</v>
      </c>
      <c r="S114" s="139">
        <f t="shared" si="58"/>
        <v>0</v>
      </c>
      <c r="T114" s="139">
        <f>SUM($F114:G114)</f>
        <v>0</v>
      </c>
      <c r="U114" s="139">
        <f>SUM($F114:H114)</f>
        <v>0</v>
      </c>
      <c r="V114" s="139">
        <f>SUM($F114:I114)</f>
        <v>0</v>
      </c>
      <c r="W114" s="139">
        <f>SUM($F114:J114)</f>
        <v>0</v>
      </c>
      <c r="X114" s="139">
        <f>SUM($F114:K114)</f>
        <v>0</v>
      </c>
      <c r="Y114" s="139">
        <f>SUM($F114:L114)</f>
        <v>100</v>
      </c>
      <c r="Z114" s="139">
        <f>SUM($F114:M114)</f>
        <v>200</v>
      </c>
      <c r="AA114" s="139">
        <f>SUM($F114:N114)</f>
        <v>200</v>
      </c>
      <c r="AB114" s="139">
        <f>SUM($F114:O114)</f>
        <v>200</v>
      </c>
      <c r="AC114" s="139">
        <f>SUM($F114:P114)</f>
        <v>200</v>
      </c>
      <c r="AD114" s="139">
        <f>SUM($F114:Q114)</f>
        <v>200</v>
      </c>
    </row>
    <row r="115" spans="1:30" x14ac:dyDescent="0.25">
      <c r="A115" s="106">
        <v>110</v>
      </c>
      <c r="C115" s="1" t="s">
        <v>73</v>
      </c>
      <c r="E115" s="101"/>
      <c r="F115" s="71">
        <v>1366</v>
      </c>
      <c r="G115" s="71">
        <v>1394.96</v>
      </c>
      <c r="H115" s="71">
        <v>1455.48</v>
      </c>
      <c r="I115" s="71">
        <v>1455.48</v>
      </c>
      <c r="J115" s="71">
        <v>1805.48</v>
      </c>
      <c r="K115" s="71">
        <v>1405.48</v>
      </c>
      <c r="L115" s="71">
        <v>1655.48</v>
      </c>
      <c r="M115" s="71">
        <v>1655.48</v>
      </c>
      <c r="N115" s="71">
        <v>1605.48</v>
      </c>
      <c r="O115" s="71">
        <v>1355.48</v>
      </c>
      <c r="P115" s="71">
        <v>1405.48</v>
      </c>
      <c r="Q115" s="71">
        <v>1355.48</v>
      </c>
      <c r="R115" s="79">
        <f t="shared" si="57"/>
        <v>17915.759999999998</v>
      </c>
      <c r="S115" s="139">
        <f t="shared" si="58"/>
        <v>1366</v>
      </c>
      <c r="T115" s="139">
        <f>SUM($F115:G115)</f>
        <v>2760.96</v>
      </c>
      <c r="U115" s="139">
        <f>SUM($F115:H115)</f>
        <v>4216.4400000000005</v>
      </c>
      <c r="V115" s="139">
        <f>SUM($F115:I115)</f>
        <v>5671.92</v>
      </c>
      <c r="W115" s="139">
        <f>SUM($F115:J115)</f>
        <v>7477.4</v>
      </c>
      <c r="X115" s="139">
        <f>SUM($F115:K115)</f>
        <v>8882.8799999999992</v>
      </c>
      <c r="Y115" s="139">
        <f>SUM($F115:L115)</f>
        <v>10538.359999999999</v>
      </c>
      <c r="Z115" s="139">
        <f>SUM($F115:M115)</f>
        <v>12193.839999999998</v>
      </c>
      <c r="AA115" s="139">
        <f>SUM($F115:N115)</f>
        <v>13799.319999999998</v>
      </c>
      <c r="AB115" s="139">
        <f>SUM($F115:O115)</f>
        <v>15154.799999999997</v>
      </c>
      <c r="AC115" s="139">
        <f>SUM($F115:P115)</f>
        <v>16560.28</v>
      </c>
      <c r="AD115" s="139">
        <f>SUM($F115:Q115)</f>
        <v>17915.759999999998</v>
      </c>
    </row>
    <row r="116" spans="1:30" x14ac:dyDescent="0.25">
      <c r="A116" s="106">
        <v>111</v>
      </c>
      <c r="C116" s="1" t="s">
        <v>74</v>
      </c>
      <c r="E116" s="101"/>
      <c r="F116" s="71">
        <v>638.9</v>
      </c>
      <c r="G116" s="71">
        <v>677.3</v>
      </c>
      <c r="H116" s="71">
        <v>658.1</v>
      </c>
      <c r="I116" s="71">
        <v>658.1</v>
      </c>
      <c r="J116" s="71">
        <v>658.1</v>
      </c>
      <c r="K116" s="71">
        <v>658.1</v>
      </c>
      <c r="L116" s="71">
        <v>0</v>
      </c>
      <c r="M116" s="71">
        <v>0</v>
      </c>
      <c r="N116" s="71">
        <v>658.1</v>
      </c>
      <c r="O116" s="71">
        <v>658.1</v>
      </c>
      <c r="P116" s="71">
        <v>658.1</v>
      </c>
      <c r="Q116" s="71">
        <v>658.1</v>
      </c>
      <c r="R116" s="79">
        <f t="shared" si="57"/>
        <v>6581.0000000000009</v>
      </c>
      <c r="S116" s="139">
        <f t="shared" si="58"/>
        <v>638.9</v>
      </c>
      <c r="T116" s="139">
        <f>SUM($F116:G116)</f>
        <v>1316.1999999999998</v>
      </c>
      <c r="U116" s="139">
        <f>SUM($F116:H116)</f>
        <v>1974.2999999999997</v>
      </c>
      <c r="V116" s="139">
        <f>SUM($F116:I116)</f>
        <v>2632.3999999999996</v>
      </c>
      <c r="W116" s="139">
        <f>SUM($F116:J116)</f>
        <v>3290.4999999999995</v>
      </c>
      <c r="X116" s="139">
        <f>SUM($F116:K116)</f>
        <v>3948.5999999999995</v>
      </c>
      <c r="Y116" s="139">
        <f>SUM($F116:L116)</f>
        <v>3948.5999999999995</v>
      </c>
      <c r="Z116" s="139">
        <f>SUM($F116:M116)</f>
        <v>3948.5999999999995</v>
      </c>
      <c r="AA116" s="139">
        <f>SUM($F116:N116)</f>
        <v>4606.7</v>
      </c>
      <c r="AB116" s="139">
        <f>SUM($F116:O116)</f>
        <v>5264.8</v>
      </c>
      <c r="AC116" s="139">
        <f>SUM($F116:P116)</f>
        <v>5922.9000000000005</v>
      </c>
      <c r="AD116" s="139">
        <f>SUM($F116:Q116)</f>
        <v>6581.0000000000009</v>
      </c>
    </row>
    <row r="117" spans="1:30" x14ac:dyDescent="0.25">
      <c r="A117" s="106">
        <v>112</v>
      </c>
      <c r="C117" s="1" t="s">
        <v>75</v>
      </c>
      <c r="E117" s="101"/>
      <c r="F117" s="71">
        <v>141.44999999999999</v>
      </c>
      <c r="G117" s="71">
        <v>141.44999999999999</v>
      </c>
      <c r="H117" s="71">
        <v>141.44999999999999</v>
      </c>
      <c r="I117" s="71">
        <v>141.44999999999999</v>
      </c>
      <c r="J117" s="71">
        <v>141.44999999999999</v>
      </c>
      <c r="K117" s="71">
        <v>141.44999999999999</v>
      </c>
      <c r="L117" s="71">
        <v>141.44999999999999</v>
      </c>
      <c r="M117" s="71">
        <v>141.44999999999999</v>
      </c>
      <c r="N117" s="71">
        <v>141.44999999999999</v>
      </c>
      <c r="O117" s="71">
        <v>141.44999999999999</v>
      </c>
      <c r="P117" s="71">
        <v>141.44999999999999</v>
      </c>
      <c r="Q117" s="71">
        <v>141.44999999999999</v>
      </c>
      <c r="R117" s="79">
        <f t="shared" si="57"/>
        <v>1697.4000000000003</v>
      </c>
      <c r="S117" s="139">
        <f t="shared" si="58"/>
        <v>141.44999999999999</v>
      </c>
      <c r="T117" s="139">
        <f>SUM($F117:G117)</f>
        <v>282.89999999999998</v>
      </c>
      <c r="U117" s="139">
        <f>SUM($F117:H117)</f>
        <v>424.34999999999997</v>
      </c>
      <c r="V117" s="139">
        <f>SUM($F117:I117)</f>
        <v>565.79999999999995</v>
      </c>
      <c r="W117" s="139">
        <f>SUM($F117:J117)</f>
        <v>707.25</v>
      </c>
      <c r="X117" s="139">
        <f>SUM($F117:K117)</f>
        <v>848.7</v>
      </c>
      <c r="Y117" s="139">
        <f>SUM($F117:L117)</f>
        <v>990.15000000000009</v>
      </c>
      <c r="Z117" s="139">
        <f>SUM($F117:M117)</f>
        <v>1131.6000000000001</v>
      </c>
      <c r="AA117" s="139">
        <f>SUM($F117:N117)</f>
        <v>1273.0500000000002</v>
      </c>
      <c r="AB117" s="139">
        <f>SUM($F117:O117)</f>
        <v>1414.5000000000002</v>
      </c>
      <c r="AC117" s="139">
        <f>SUM($F117:P117)</f>
        <v>1555.9500000000003</v>
      </c>
      <c r="AD117" s="139">
        <f>SUM($F117:Q117)</f>
        <v>1697.4000000000003</v>
      </c>
    </row>
    <row r="118" spans="1:30" x14ac:dyDescent="0.25">
      <c r="A118" s="106">
        <v>113</v>
      </c>
      <c r="C118" s="1" t="s">
        <v>76</v>
      </c>
      <c r="E118" s="101"/>
      <c r="F118" s="71">
        <v>200</v>
      </c>
      <c r="G118" s="71">
        <v>200</v>
      </c>
      <c r="H118" s="71">
        <v>200</v>
      </c>
      <c r="I118" s="71">
        <v>200</v>
      </c>
      <c r="J118" s="71">
        <v>200</v>
      </c>
      <c r="K118" s="71">
        <v>200</v>
      </c>
      <c r="L118" s="71">
        <v>200</v>
      </c>
      <c r="M118" s="71">
        <v>200</v>
      </c>
      <c r="N118" s="71">
        <v>200</v>
      </c>
      <c r="O118" s="71">
        <v>200</v>
      </c>
      <c r="P118" s="71">
        <v>200</v>
      </c>
      <c r="Q118" s="71">
        <v>200</v>
      </c>
      <c r="R118" s="79">
        <f t="shared" si="57"/>
        <v>2400</v>
      </c>
      <c r="S118" s="139">
        <f t="shared" si="5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59">SUM(F113:F118)</f>
        <v>3144.69</v>
      </c>
      <c r="G119" s="80">
        <f t="shared" si="59"/>
        <v>3212.05</v>
      </c>
      <c r="H119" s="80">
        <f t="shared" si="59"/>
        <v>3253.37</v>
      </c>
      <c r="I119" s="80">
        <f t="shared" si="59"/>
        <v>3253.37</v>
      </c>
      <c r="J119" s="80">
        <f t="shared" si="59"/>
        <v>3603.37</v>
      </c>
      <c r="K119" s="80">
        <f t="shared" si="59"/>
        <v>3203.37</v>
      </c>
      <c r="L119" s="80">
        <f t="shared" si="59"/>
        <v>2895.27</v>
      </c>
      <c r="M119" s="80">
        <f t="shared" si="59"/>
        <v>2895.27</v>
      </c>
      <c r="N119" s="80">
        <f t="shared" si="59"/>
        <v>3403.37</v>
      </c>
      <c r="O119" s="80">
        <f t="shared" si="59"/>
        <v>3153.37</v>
      </c>
      <c r="P119" s="80">
        <f t="shared" si="59"/>
        <v>3203.37</v>
      </c>
      <c r="Q119" s="80">
        <f t="shared" si="59"/>
        <v>3153.37</v>
      </c>
      <c r="R119" s="80">
        <f>SUM(R113:R118)</f>
        <v>38374.239999999998</v>
      </c>
      <c r="S119" s="149">
        <f t="shared" ref="S119:AD119" si="60">SUM(S113:S118)</f>
        <v>3144.69</v>
      </c>
      <c r="T119" s="149">
        <f t="shared" si="60"/>
        <v>6356.74</v>
      </c>
      <c r="U119" s="149">
        <f t="shared" si="60"/>
        <v>9610.11</v>
      </c>
      <c r="V119" s="149">
        <f t="shared" si="60"/>
        <v>12863.48</v>
      </c>
      <c r="W119" s="149">
        <f t="shared" si="60"/>
        <v>16466.849999999999</v>
      </c>
      <c r="X119" s="149">
        <f t="shared" si="60"/>
        <v>19670.219999999998</v>
      </c>
      <c r="Y119" s="149">
        <f t="shared" si="60"/>
        <v>22565.489999999998</v>
      </c>
      <c r="Z119" s="149">
        <f t="shared" si="60"/>
        <v>25460.759999999995</v>
      </c>
      <c r="AA119" s="149">
        <f t="shared" si="60"/>
        <v>28864.129999999997</v>
      </c>
      <c r="AB119" s="149">
        <f t="shared" si="60"/>
        <v>32017.499999999996</v>
      </c>
      <c r="AC119" s="149">
        <f t="shared" si="60"/>
        <v>35220.869999999995</v>
      </c>
      <c r="AD119" s="149">
        <f t="shared" si="60"/>
        <v>38374.239999999998</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c r="F122" s="71">
        <v>1145.01</v>
      </c>
      <c r="G122" s="71">
        <v>1243.23</v>
      </c>
      <c r="H122" s="71">
        <v>975.09</v>
      </c>
      <c r="I122" s="71">
        <v>867.87</v>
      </c>
      <c r="J122" s="71">
        <v>836.22</v>
      </c>
      <c r="K122" s="71">
        <v>1410.39</v>
      </c>
      <c r="L122" s="71">
        <v>928.15</v>
      </c>
      <c r="M122" s="71">
        <v>836.9</v>
      </c>
      <c r="N122" s="71">
        <v>875.1</v>
      </c>
      <c r="O122" s="71">
        <v>892.68</v>
      </c>
      <c r="P122" s="71">
        <v>1454.33</v>
      </c>
      <c r="Q122" s="71">
        <v>924.49</v>
      </c>
      <c r="R122" s="79">
        <f t="shared" ref="R122:R131" si="61">SUM(F122:Q122)</f>
        <v>12389.460000000001</v>
      </c>
      <c r="S122" s="139">
        <f t="shared" ref="S122:S131" si="62">SUM(F122)</f>
        <v>1145.01</v>
      </c>
      <c r="T122" s="139">
        <f>SUM($F122:G122)</f>
        <v>2388.2399999999998</v>
      </c>
      <c r="U122" s="139">
        <f>SUM($F122:H122)</f>
        <v>3363.33</v>
      </c>
      <c r="V122" s="139">
        <f>SUM($F122:I122)</f>
        <v>4231.2</v>
      </c>
      <c r="W122" s="139">
        <f>SUM($F122:J122)</f>
        <v>5067.42</v>
      </c>
      <c r="X122" s="139">
        <f>SUM($F122:K122)</f>
        <v>6477.81</v>
      </c>
      <c r="Y122" s="139">
        <f>SUM($F122:L122)</f>
        <v>7405.96</v>
      </c>
      <c r="Z122" s="139">
        <f>SUM($F122:M122)</f>
        <v>8242.86</v>
      </c>
      <c r="AA122" s="139">
        <f>SUM($F122:N122)</f>
        <v>9117.9600000000009</v>
      </c>
      <c r="AB122" s="139">
        <f>SUM($F122:O122)</f>
        <v>10010.640000000001</v>
      </c>
      <c r="AC122" s="139">
        <f>SUM($F122:P122)</f>
        <v>11464.970000000001</v>
      </c>
      <c r="AD122" s="139">
        <f>SUM($F122:Q122)</f>
        <v>12389.460000000001</v>
      </c>
    </row>
    <row r="123" spans="1:30" x14ac:dyDescent="0.25">
      <c r="A123" s="106">
        <v>118</v>
      </c>
      <c r="C123" s="1" t="s">
        <v>80</v>
      </c>
      <c r="E123" s="101"/>
      <c r="F123" s="71">
        <v>2452.34</v>
      </c>
      <c r="G123" s="71">
        <v>3288.64</v>
      </c>
      <c r="H123" s="71">
        <v>2561.92</v>
      </c>
      <c r="I123" s="71">
        <v>2421.16</v>
      </c>
      <c r="J123" s="71">
        <v>2618.2199999999998</v>
      </c>
      <c r="K123" s="71">
        <v>3640.91</v>
      </c>
      <c r="L123" s="71">
        <v>2707.6</v>
      </c>
      <c r="M123" s="71">
        <v>2366.7199999999998</v>
      </c>
      <c r="N123" s="71">
        <v>2949.48</v>
      </c>
      <c r="O123" s="71">
        <v>2965.29</v>
      </c>
      <c r="P123" s="71">
        <v>3796.88</v>
      </c>
      <c r="Q123" s="71">
        <v>3049.08</v>
      </c>
      <c r="R123" s="79">
        <f t="shared" si="61"/>
        <v>34818.239999999998</v>
      </c>
      <c r="S123" s="139">
        <f t="shared" si="62"/>
        <v>2452.34</v>
      </c>
      <c r="T123" s="139">
        <f>SUM($F123:G123)</f>
        <v>5740.98</v>
      </c>
      <c r="U123" s="139">
        <f>SUM($F123:H123)</f>
        <v>8302.9</v>
      </c>
      <c r="V123" s="139">
        <f>SUM($F123:I123)</f>
        <v>10724.06</v>
      </c>
      <c r="W123" s="139">
        <f>SUM($F123:J123)</f>
        <v>13342.279999999999</v>
      </c>
      <c r="X123" s="139">
        <f>SUM($F123:K123)</f>
        <v>16983.189999999999</v>
      </c>
      <c r="Y123" s="139">
        <f>SUM($F123:L123)</f>
        <v>19690.789999999997</v>
      </c>
      <c r="Z123" s="139">
        <f>SUM($F123:M123)</f>
        <v>22057.51</v>
      </c>
      <c r="AA123" s="139">
        <f>SUM($F123:N123)</f>
        <v>25006.989999999998</v>
      </c>
      <c r="AB123" s="139">
        <f>SUM($F123:O123)</f>
        <v>27972.28</v>
      </c>
      <c r="AC123" s="139">
        <f>SUM($F123:P123)</f>
        <v>31769.16</v>
      </c>
      <c r="AD123" s="139">
        <f>SUM($F123:Q123)</f>
        <v>34818.239999999998</v>
      </c>
    </row>
    <row r="124" spans="1:30" x14ac:dyDescent="0.25">
      <c r="A124" s="106">
        <v>119</v>
      </c>
      <c r="C124" s="1" t="s">
        <v>81</v>
      </c>
      <c r="E124" s="101"/>
      <c r="F124" s="71">
        <v>0</v>
      </c>
      <c r="G124" s="71">
        <v>0</v>
      </c>
      <c r="H124" s="71">
        <v>161.16999999999999</v>
      </c>
      <c r="I124" s="71">
        <v>35.32</v>
      </c>
      <c r="J124" s="71">
        <v>0</v>
      </c>
      <c r="K124" s="71">
        <v>0</v>
      </c>
      <c r="L124" s="71">
        <v>214.5</v>
      </c>
      <c r="M124" s="71">
        <v>94.57</v>
      </c>
      <c r="N124" s="71">
        <v>21.91</v>
      </c>
      <c r="O124" s="71">
        <v>16.75</v>
      </c>
      <c r="P124" s="71">
        <v>0</v>
      </c>
      <c r="Q124" s="71">
        <v>0</v>
      </c>
      <c r="R124" s="79">
        <f t="shared" si="61"/>
        <v>544.22</v>
      </c>
      <c r="S124" s="139">
        <f t="shared" si="62"/>
        <v>0</v>
      </c>
      <c r="T124" s="139">
        <f>SUM($F124:G124)</f>
        <v>0</v>
      </c>
      <c r="U124" s="139">
        <f>SUM($F124:H124)</f>
        <v>161.16999999999999</v>
      </c>
      <c r="V124" s="139">
        <f>SUM($F124:I124)</f>
        <v>196.48999999999998</v>
      </c>
      <c r="W124" s="139">
        <f>SUM($F124:J124)</f>
        <v>196.48999999999998</v>
      </c>
      <c r="X124" s="139">
        <f>SUM($F124:K124)</f>
        <v>196.48999999999998</v>
      </c>
      <c r="Y124" s="139">
        <f>SUM($F124:L124)</f>
        <v>410.99</v>
      </c>
      <c r="Z124" s="139">
        <f>SUM($F124:M124)</f>
        <v>505.56</v>
      </c>
      <c r="AA124" s="139">
        <f>SUM($F124:N124)</f>
        <v>527.47</v>
      </c>
      <c r="AB124" s="139">
        <f>SUM($F124:O124)</f>
        <v>544.22</v>
      </c>
      <c r="AC124" s="139">
        <f>SUM($F124:P124)</f>
        <v>544.22</v>
      </c>
      <c r="AD124" s="139">
        <f>SUM($F124:Q124)</f>
        <v>544.22</v>
      </c>
    </row>
    <row r="125" spans="1:30" x14ac:dyDescent="0.25">
      <c r="A125" s="106">
        <v>120</v>
      </c>
      <c r="C125" s="1" t="s">
        <v>82</v>
      </c>
      <c r="E125" s="101"/>
      <c r="F125" s="71">
        <v>0</v>
      </c>
      <c r="G125" s="71">
        <v>102.87</v>
      </c>
      <c r="H125" s="71">
        <v>0</v>
      </c>
      <c r="I125" s="71">
        <v>0</v>
      </c>
      <c r="J125" s="71">
        <v>0</v>
      </c>
      <c r="K125" s="71">
        <v>0</v>
      </c>
      <c r="L125" s="71">
        <v>0</v>
      </c>
      <c r="M125" s="71">
        <v>0</v>
      </c>
      <c r="N125" s="71">
        <v>0</v>
      </c>
      <c r="O125" s="71">
        <v>0</v>
      </c>
      <c r="P125" s="71">
        <v>0</v>
      </c>
      <c r="Q125" s="71">
        <v>600</v>
      </c>
      <c r="R125" s="79">
        <f t="shared" si="61"/>
        <v>702.87</v>
      </c>
      <c r="S125" s="139">
        <f t="shared" si="62"/>
        <v>0</v>
      </c>
      <c r="T125" s="139">
        <f>SUM($F125:G125)</f>
        <v>102.87</v>
      </c>
      <c r="U125" s="139">
        <f>SUM($F125:H125)</f>
        <v>102.87</v>
      </c>
      <c r="V125" s="139">
        <f>SUM($F125:I125)</f>
        <v>102.87</v>
      </c>
      <c r="W125" s="139">
        <f>SUM($F125:J125)</f>
        <v>102.87</v>
      </c>
      <c r="X125" s="139">
        <f>SUM($F125:K125)</f>
        <v>102.87</v>
      </c>
      <c r="Y125" s="139">
        <f>SUM($F125:L125)</f>
        <v>102.87</v>
      </c>
      <c r="Z125" s="139">
        <f>SUM($F125:M125)</f>
        <v>102.87</v>
      </c>
      <c r="AA125" s="139">
        <f>SUM($F125:N125)</f>
        <v>102.87</v>
      </c>
      <c r="AB125" s="139">
        <f>SUM($F125:O125)</f>
        <v>102.87</v>
      </c>
      <c r="AC125" s="139">
        <f>SUM($F125:P125)</f>
        <v>102.87</v>
      </c>
      <c r="AD125" s="139">
        <f>SUM($F125:Q125)</f>
        <v>702.87</v>
      </c>
    </row>
    <row r="126" spans="1:30" x14ac:dyDescent="0.25">
      <c r="A126" s="106">
        <v>121</v>
      </c>
      <c r="C126" s="1" t="s">
        <v>83</v>
      </c>
      <c r="E126" s="101"/>
      <c r="F126" s="71">
        <v>124</v>
      </c>
      <c r="G126" s="71">
        <v>117.38</v>
      </c>
      <c r="H126" s="71">
        <v>96.13</v>
      </c>
      <c r="I126" s="71">
        <v>144.38</v>
      </c>
      <c r="J126" s="71">
        <v>176.38</v>
      </c>
      <c r="K126" s="71">
        <v>188.88</v>
      </c>
      <c r="L126" s="71">
        <v>0</v>
      </c>
      <c r="M126" s="71">
        <v>0</v>
      </c>
      <c r="N126" s="71">
        <v>110.25</v>
      </c>
      <c r="O126" s="71">
        <v>170.51</v>
      </c>
      <c r="P126" s="71">
        <v>170.38</v>
      </c>
      <c r="Q126" s="71">
        <v>176.88</v>
      </c>
      <c r="R126" s="79">
        <f t="shared" si="61"/>
        <v>1475.17</v>
      </c>
      <c r="S126" s="139">
        <f t="shared" si="62"/>
        <v>124</v>
      </c>
      <c r="T126" s="139">
        <f>SUM($F126:G126)</f>
        <v>241.38</v>
      </c>
      <c r="U126" s="139">
        <f>SUM($F126:H126)</f>
        <v>337.51</v>
      </c>
      <c r="V126" s="139">
        <f>SUM($F126:I126)</f>
        <v>481.89</v>
      </c>
      <c r="W126" s="139">
        <f>SUM($F126:J126)</f>
        <v>658.27</v>
      </c>
      <c r="X126" s="139">
        <f>SUM($F126:K126)</f>
        <v>847.15</v>
      </c>
      <c r="Y126" s="139">
        <f>SUM($F126:L126)</f>
        <v>847.15</v>
      </c>
      <c r="Z126" s="139">
        <f>SUM($F126:M126)</f>
        <v>847.15</v>
      </c>
      <c r="AA126" s="139">
        <f>SUM($F126:N126)</f>
        <v>957.4</v>
      </c>
      <c r="AB126" s="139">
        <f>SUM($F126:O126)</f>
        <v>1127.9099999999999</v>
      </c>
      <c r="AC126" s="139">
        <f>SUM($F126:P126)</f>
        <v>1298.29</v>
      </c>
      <c r="AD126" s="139">
        <f>SUM($F126:Q126)</f>
        <v>1475.17</v>
      </c>
    </row>
    <row r="127" spans="1:30" x14ac:dyDescent="0.25">
      <c r="A127" s="106">
        <v>122</v>
      </c>
      <c r="C127" s="1" t="s">
        <v>125</v>
      </c>
      <c r="E127" s="101"/>
      <c r="F127" s="71">
        <v>1501.2</v>
      </c>
      <c r="G127" s="71">
        <v>1491.98</v>
      </c>
      <c r="H127" s="71">
        <v>1548.51</v>
      </c>
      <c r="I127" s="71">
        <v>1462.4</v>
      </c>
      <c r="J127" s="71">
        <v>1409.04</v>
      </c>
      <c r="K127" s="71">
        <v>1939.32</v>
      </c>
      <c r="L127" s="71">
        <v>1489.8</v>
      </c>
      <c r="M127" s="71">
        <v>2503.8000000000002</v>
      </c>
      <c r="N127" s="71">
        <v>2011.1</v>
      </c>
      <c r="O127" s="71">
        <v>1978.93</v>
      </c>
      <c r="P127" s="71">
        <v>3227.59</v>
      </c>
      <c r="Q127" s="71">
        <v>1836.57</v>
      </c>
      <c r="R127" s="79">
        <f t="shared" si="61"/>
        <v>22400.239999999998</v>
      </c>
      <c r="S127" s="139">
        <f t="shared" si="62"/>
        <v>1501.2</v>
      </c>
      <c r="T127" s="139">
        <f>SUM($F127:G127)</f>
        <v>2993.1800000000003</v>
      </c>
      <c r="U127" s="139">
        <f>SUM($F127:H127)</f>
        <v>4541.6900000000005</v>
      </c>
      <c r="V127" s="139">
        <f>SUM($F127:I127)</f>
        <v>6004.09</v>
      </c>
      <c r="W127" s="139">
        <f>SUM($F127:J127)</f>
        <v>7413.13</v>
      </c>
      <c r="X127" s="139">
        <f>SUM($F127:K127)</f>
        <v>9352.4500000000007</v>
      </c>
      <c r="Y127" s="139">
        <f>SUM($F127:L127)</f>
        <v>10842.25</v>
      </c>
      <c r="Z127" s="139">
        <f>SUM($F127:M127)</f>
        <v>13346.05</v>
      </c>
      <c r="AA127" s="139">
        <f>SUM($F127:N127)</f>
        <v>15357.15</v>
      </c>
      <c r="AB127" s="139">
        <f>SUM($F127:O127)</f>
        <v>17336.079999999998</v>
      </c>
      <c r="AC127" s="139">
        <f>SUM($F127:P127)</f>
        <v>20563.669999999998</v>
      </c>
      <c r="AD127" s="139">
        <f>SUM($F127:Q127)</f>
        <v>22400.239999999998</v>
      </c>
    </row>
    <row r="128" spans="1:30" x14ac:dyDescent="0.25">
      <c r="A128" s="106">
        <v>123</v>
      </c>
      <c r="C128" s="1" t="s">
        <v>84</v>
      </c>
      <c r="E128" s="101"/>
      <c r="F128" s="71">
        <v>0</v>
      </c>
      <c r="G128" s="71">
        <v>809.79</v>
      </c>
      <c r="H128" s="71">
        <v>914.71</v>
      </c>
      <c r="I128" s="71">
        <v>824.3</v>
      </c>
      <c r="J128" s="71">
        <v>794.94</v>
      </c>
      <c r="K128" s="71">
        <v>805.97</v>
      </c>
      <c r="L128" s="71">
        <v>979.4</v>
      </c>
      <c r="M128" s="71">
        <v>646.45000000000005</v>
      </c>
      <c r="N128" s="71">
        <v>573.91999999999996</v>
      </c>
      <c r="O128" s="71">
        <v>630.9</v>
      </c>
      <c r="P128" s="71">
        <v>634.35</v>
      </c>
      <c r="Q128" s="71">
        <v>842.34</v>
      </c>
      <c r="R128" s="79">
        <f t="shared" si="61"/>
        <v>8457.07</v>
      </c>
      <c r="S128" s="139">
        <f t="shared" si="62"/>
        <v>0</v>
      </c>
      <c r="T128" s="139">
        <f>SUM($F128:G128)</f>
        <v>809.79</v>
      </c>
      <c r="U128" s="139">
        <f>SUM($F128:H128)</f>
        <v>1724.5</v>
      </c>
      <c r="V128" s="139">
        <f>SUM($F128:I128)</f>
        <v>2548.8000000000002</v>
      </c>
      <c r="W128" s="139">
        <f>SUM($F128:J128)</f>
        <v>3343.7400000000002</v>
      </c>
      <c r="X128" s="139">
        <f>SUM($F128:K128)</f>
        <v>4149.71</v>
      </c>
      <c r="Y128" s="139">
        <f>SUM($F128:L128)</f>
        <v>5129.1099999999997</v>
      </c>
      <c r="Z128" s="139">
        <f>SUM($F128:M128)</f>
        <v>5775.5599999999995</v>
      </c>
      <c r="AA128" s="139">
        <f>SUM($F128:N128)</f>
        <v>6349.48</v>
      </c>
      <c r="AB128" s="139">
        <f>SUM($F128:O128)</f>
        <v>6980.3799999999992</v>
      </c>
      <c r="AC128" s="139">
        <f>SUM($F128:P128)</f>
        <v>7614.73</v>
      </c>
      <c r="AD128" s="139">
        <f>SUM($F128:Q128)</f>
        <v>8457.07</v>
      </c>
    </row>
    <row r="129" spans="1:30" x14ac:dyDescent="0.25">
      <c r="A129" s="106">
        <v>124</v>
      </c>
      <c r="C129" s="1" t="s">
        <v>85</v>
      </c>
      <c r="E129" s="101"/>
      <c r="F129" s="71">
        <v>814</v>
      </c>
      <c r="G129" s="71">
        <v>0</v>
      </c>
      <c r="H129" s="71">
        <v>0</v>
      </c>
      <c r="I129" s="71">
        <v>814</v>
      </c>
      <c r="J129" s="71">
        <v>0</v>
      </c>
      <c r="K129" s="71">
        <v>0</v>
      </c>
      <c r="L129" s="71">
        <v>855.5</v>
      </c>
      <c r="M129" s="71">
        <v>0</v>
      </c>
      <c r="N129" s="71">
        <v>-884</v>
      </c>
      <c r="O129" s="71">
        <v>855.5</v>
      </c>
      <c r="P129" s="71">
        <v>0</v>
      </c>
      <c r="Q129" s="71">
        <v>0</v>
      </c>
      <c r="R129" s="79">
        <f t="shared" si="61"/>
        <v>2455</v>
      </c>
      <c r="S129" s="139">
        <f t="shared" si="62"/>
        <v>814</v>
      </c>
      <c r="T129" s="139">
        <f>SUM($F129:G129)</f>
        <v>814</v>
      </c>
      <c r="U129" s="139">
        <f>SUM($F129:H129)</f>
        <v>814</v>
      </c>
      <c r="V129" s="139">
        <f>SUM($F129:I129)</f>
        <v>1628</v>
      </c>
      <c r="W129" s="139">
        <f>SUM($F129:J129)</f>
        <v>1628</v>
      </c>
      <c r="X129" s="139">
        <f>SUM($F129:K129)</f>
        <v>1628</v>
      </c>
      <c r="Y129" s="139">
        <f>SUM($F129:L129)</f>
        <v>2483.5</v>
      </c>
      <c r="Z129" s="139">
        <f>SUM($F129:M129)</f>
        <v>2483.5</v>
      </c>
      <c r="AA129" s="139">
        <f>SUM($F129:N129)</f>
        <v>1599.5</v>
      </c>
      <c r="AB129" s="139">
        <f>SUM($F129:O129)</f>
        <v>2455</v>
      </c>
      <c r="AC129" s="139">
        <f>SUM($F129:P129)</f>
        <v>2455</v>
      </c>
      <c r="AD129" s="139">
        <f>SUM($F129:Q129)</f>
        <v>2455</v>
      </c>
    </row>
    <row r="130" spans="1:30" x14ac:dyDescent="0.25">
      <c r="A130" s="106">
        <v>125</v>
      </c>
      <c r="C130" s="1" t="s">
        <v>86</v>
      </c>
      <c r="E130" s="101"/>
      <c r="F130" s="71">
        <v>0</v>
      </c>
      <c r="G130" s="71">
        <v>200</v>
      </c>
      <c r="H130" s="71">
        <v>200</v>
      </c>
      <c r="I130" s="71">
        <v>200</v>
      </c>
      <c r="J130" s="71">
        <v>100</v>
      </c>
      <c r="K130" s="71">
        <v>150</v>
      </c>
      <c r="L130" s="71">
        <v>0</v>
      </c>
      <c r="M130" s="71">
        <v>0</v>
      </c>
      <c r="N130" s="71">
        <v>100</v>
      </c>
      <c r="O130" s="71">
        <v>100</v>
      </c>
      <c r="P130" s="71">
        <v>0</v>
      </c>
      <c r="Q130" s="71">
        <v>350</v>
      </c>
      <c r="R130" s="79">
        <f t="shared" si="61"/>
        <v>1400</v>
      </c>
      <c r="S130" s="139">
        <f t="shared" si="62"/>
        <v>0</v>
      </c>
      <c r="T130" s="139">
        <f>SUM($F130:G130)</f>
        <v>200</v>
      </c>
      <c r="U130" s="139">
        <f>SUM($F130:H130)</f>
        <v>400</v>
      </c>
      <c r="V130" s="139">
        <f>SUM($F130:I130)</f>
        <v>600</v>
      </c>
      <c r="W130" s="139">
        <f>SUM($F130:J130)</f>
        <v>700</v>
      </c>
      <c r="X130" s="139">
        <f>SUM($F130:K130)</f>
        <v>850</v>
      </c>
      <c r="Y130" s="139">
        <f>SUM($F130:L130)</f>
        <v>850</v>
      </c>
      <c r="Z130" s="139">
        <f>SUM($F130:M130)</f>
        <v>850</v>
      </c>
      <c r="AA130" s="139">
        <f>SUM($F130:N130)</f>
        <v>950</v>
      </c>
      <c r="AB130" s="139">
        <f>SUM($F130:O130)</f>
        <v>1050</v>
      </c>
      <c r="AC130" s="139">
        <f>SUM($F130:P130)</f>
        <v>1050</v>
      </c>
      <c r="AD130" s="139">
        <f>SUM($F130:Q130)</f>
        <v>1400</v>
      </c>
    </row>
    <row r="131" spans="1:30" x14ac:dyDescent="0.25">
      <c r="A131" s="106">
        <v>126</v>
      </c>
      <c r="C131" s="1" t="s">
        <v>87</v>
      </c>
      <c r="E131" s="101"/>
      <c r="F131" s="71">
        <v>-2000</v>
      </c>
      <c r="G131" s="71">
        <v>0</v>
      </c>
      <c r="H131" s="71">
        <v>0</v>
      </c>
      <c r="I131" s="71">
        <v>0</v>
      </c>
      <c r="J131" s="71">
        <v>0</v>
      </c>
      <c r="K131" s="71">
        <v>0</v>
      </c>
      <c r="L131" s="71">
        <v>-2000</v>
      </c>
      <c r="M131" s="71">
        <v>0</v>
      </c>
      <c r="N131" s="71">
        <v>0</v>
      </c>
      <c r="O131" s="71">
        <v>0</v>
      </c>
      <c r="P131" s="71">
        <v>0</v>
      </c>
      <c r="Q131" s="71">
        <v>0</v>
      </c>
      <c r="R131" s="79">
        <f t="shared" si="61"/>
        <v>-4000</v>
      </c>
      <c r="S131" s="139">
        <f t="shared" si="62"/>
        <v>-2000</v>
      </c>
      <c r="T131" s="139">
        <f>SUM($F131:G131)</f>
        <v>-2000</v>
      </c>
      <c r="U131" s="139">
        <f>SUM($F131:H131)</f>
        <v>-2000</v>
      </c>
      <c r="V131" s="139">
        <f>SUM($F131:I131)</f>
        <v>-2000</v>
      </c>
      <c r="W131" s="139">
        <f>SUM($F131:J131)</f>
        <v>-2000</v>
      </c>
      <c r="X131" s="139">
        <f>SUM($F131:K131)</f>
        <v>-2000</v>
      </c>
      <c r="Y131" s="139">
        <f>SUM($F131:L131)</f>
        <v>-4000</v>
      </c>
      <c r="Z131" s="139">
        <f>SUM($F131:M131)</f>
        <v>-4000</v>
      </c>
      <c r="AA131" s="139">
        <f>SUM($F131:N131)</f>
        <v>-4000</v>
      </c>
      <c r="AB131" s="139">
        <f>SUM($F131:O131)</f>
        <v>-4000</v>
      </c>
      <c r="AC131" s="139">
        <f>SUM($F131:P131)</f>
        <v>-4000</v>
      </c>
      <c r="AD131" s="139">
        <f>SUM($F131:Q131)</f>
        <v>-4000</v>
      </c>
    </row>
    <row r="132" spans="1:30" s="5" customFormat="1" x14ac:dyDescent="0.25">
      <c r="A132" s="106">
        <v>127</v>
      </c>
      <c r="B132" s="33" t="s">
        <v>79</v>
      </c>
      <c r="C132" s="33"/>
      <c r="D132" s="33"/>
      <c r="E132" s="96"/>
      <c r="F132" s="80">
        <f t="shared" ref="F132:Q132" si="63">SUM(F122:F131)</f>
        <v>4036.55</v>
      </c>
      <c r="G132" s="80">
        <f t="shared" si="63"/>
        <v>7253.89</v>
      </c>
      <c r="H132" s="80">
        <f t="shared" si="63"/>
        <v>6457.5300000000007</v>
      </c>
      <c r="I132" s="80">
        <f t="shared" si="63"/>
        <v>6769.43</v>
      </c>
      <c r="J132" s="80">
        <f t="shared" si="63"/>
        <v>5934.7999999999993</v>
      </c>
      <c r="K132" s="80">
        <f t="shared" si="63"/>
        <v>8135.47</v>
      </c>
      <c r="L132" s="80">
        <f t="shared" si="63"/>
        <v>5174.95</v>
      </c>
      <c r="M132" s="80">
        <f t="shared" si="63"/>
        <v>6448.44</v>
      </c>
      <c r="N132" s="80">
        <f t="shared" si="63"/>
        <v>5757.76</v>
      </c>
      <c r="O132" s="80">
        <f t="shared" si="63"/>
        <v>7610.5599999999995</v>
      </c>
      <c r="P132" s="80">
        <f t="shared" si="63"/>
        <v>9283.5300000000007</v>
      </c>
      <c r="Q132" s="80">
        <f t="shared" si="63"/>
        <v>7779.36</v>
      </c>
      <c r="R132" s="80">
        <f>SUM(R122:R131)</f>
        <v>80642.26999999999</v>
      </c>
      <c r="S132" s="149">
        <f t="shared" ref="S132:AD132" si="64">SUM(S122:S131)</f>
        <v>4036.55</v>
      </c>
      <c r="T132" s="149">
        <f t="shared" si="64"/>
        <v>11290.439999999999</v>
      </c>
      <c r="U132" s="149">
        <f t="shared" si="64"/>
        <v>17747.97</v>
      </c>
      <c r="V132" s="149">
        <f t="shared" si="64"/>
        <v>24517.399999999998</v>
      </c>
      <c r="W132" s="149">
        <f t="shared" si="64"/>
        <v>30452.2</v>
      </c>
      <c r="X132" s="149">
        <f t="shared" si="64"/>
        <v>38587.670000000006</v>
      </c>
      <c r="Y132" s="149">
        <f t="shared" si="64"/>
        <v>43762.619999999995</v>
      </c>
      <c r="Z132" s="149">
        <f t="shared" si="64"/>
        <v>50211.06</v>
      </c>
      <c r="AA132" s="149">
        <f t="shared" si="64"/>
        <v>55968.820000000007</v>
      </c>
      <c r="AB132" s="149">
        <f t="shared" si="64"/>
        <v>63579.380000000005</v>
      </c>
      <c r="AC132" s="149">
        <f t="shared" si="64"/>
        <v>72862.91</v>
      </c>
      <c r="AD132" s="149">
        <f t="shared" si="64"/>
        <v>80642.26999999999</v>
      </c>
    </row>
    <row r="133" spans="1:30" x14ac:dyDescent="0.25">
      <c r="A133" s="106">
        <v>128</v>
      </c>
      <c r="B133" s="33" t="s">
        <v>88</v>
      </c>
      <c r="C133" s="33"/>
      <c r="D133" s="44" t="str">
        <f>0*100%&amp;"% Cost of Living"</f>
        <v>0% Cost of Living</v>
      </c>
      <c r="E133" s="96"/>
      <c r="F133" s="80">
        <f t="shared" ref="F133:Q133" si="65">+F91+F96+F101+F110+F119+F132</f>
        <v>23881.94</v>
      </c>
      <c r="G133" s="80">
        <f t="shared" si="65"/>
        <v>28163.5</v>
      </c>
      <c r="H133" s="80">
        <f t="shared" si="65"/>
        <v>28748.809999999998</v>
      </c>
      <c r="I133" s="80">
        <f t="shared" si="65"/>
        <v>28084.85</v>
      </c>
      <c r="J133" s="80">
        <f t="shared" si="65"/>
        <v>26215.53</v>
      </c>
      <c r="K133" s="80">
        <f t="shared" si="65"/>
        <v>30329.760000000002</v>
      </c>
      <c r="L133" s="80">
        <f t="shared" si="65"/>
        <v>24720.49</v>
      </c>
      <c r="M133" s="80">
        <f t="shared" si="65"/>
        <v>25230.19</v>
      </c>
      <c r="N133" s="80">
        <f t="shared" si="65"/>
        <v>27487.519999999997</v>
      </c>
      <c r="O133" s="80">
        <f t="shared" si="65"/>
        <v>26843.980000000003</v>
      </c>
      <c r="P133" s="80">
        <f t="shared" si="65"/>
        <v>28876.739999999998</v>
      </c>
      <c r="Q133" s="80">
        <f t="shared" si="65"/>
        <v>29652.37</v>
      </c>
      <c r="R133" s="80">
        <f>+R91+R96+R101+R110+R119+R132</f>
        <v>328235.68</v>
      </c>
      <c r="S133" s="149">
        <f t="shared" ref="S133:AD133" si="66">+S91+S96+S101+S110+S119+S132</f>
        <v>23881.94</v>
      </c>
      <c r="T133" s="149">
        <f t="shared" si="66"/>
        <v>52045.440000000002</v>
      </c>
      <c r="U133" s="149">
        <f t="shared" si="66"/>
        <v>80794.25</v>
      </c>
      <c r="V133" s="149">
        <f t="shared" si="66"/>
        <v>108879.09999999999</v>
      </c>
      <c r="W133" s="149">
        <f t="shared" si="66"/>
        <v>135094.63</v>
      </c>
      <c r="X133" s="149">
        <f t="shared" si="66"/>
        <v>165424.39000000001</v>
      </c>
      <c r="Y133" s="149">
        <f t="shared" si="66"/>
        <v>190144.87999999998</v>
      </c>
      <c r="Z133" s="149">
        <f t="shared" si="66"/>
        <v>215375.07</v>
      </c>
      <c r="AA133" s="149">
        <f t="shared" si="66"/>
        <v>242862.59</v>
      </c>
      <c r="AB133" s="149">
        <f t="shared" si="66"/>
        <v>269706.57</v>
      </c>
      <c r="AC133" s="149">
        <f t="shared" si="66"/>
        <v>298583.31000000006</v>
      </c>
      <c r="AD133" s="149">
        <f t="shared" si="66"/>
        <v>328235.68</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c r="F137" s="71">
        <v>1724.44</v>
      </c>
      <c r="G137" s="71">
        <v>1643.03</v>
      </c>
      <c r="H137" s="71">
        <v>1497.47</v>
      </c>
      <c r="I137" s="71">
        <v>1323.19</v>
      </c>
      <c r="J137" s="71">
        <v>1177.1500000000001</v>
      </c>
      <c r="K137" s="71">
        <v>1396.24</v>
      </c>
      <c r="L137" s="71">
        <v>1533.06</v>
      </c>
      <c r="M137" s="71">
        <v>1735.58</v>
      </c>
      <c r="N137" s="71">
        <v>1582.75</v>
      </c>
      <c r="O137" s="71">
        <v>1505.55</v>
      </c>
      <c r="P137" s="71">
        <v>1203.4100000000001</v>
      </c>
      <c r="Q137" s="71">
        <v>1712.45</v>
      </c>
      <c r="R137" s="79">
        <f t="shared" ref="R137:R143" si="67">SUM(F137:Q137)</f>
        <v>18034.32</v>
      </c>
      <c r="S137" s="139">
        <f t="shared" ref="S137:S143" si="68">SUM(F137)</f>
        <v>1724.44</v>
      </c>
      <c r="T137" s="139">
        <f>SUM($F137:G137)</f>
        <v>3367.4700000000003</v>
      </c>
      <c r="U137" s="139">
        <f>SUM($F137:H137)</f>
        <v>4864.9400000000005</v>
      </c>
      <c r="V137" s="139">
        <f>SUM($F137:I137)</f>
        <v>6188.130000000001</v>
      </c>
      <c r="W137" s="139">
        <f>SUM($F137:J137)</f>
        <v>7365.2800000000007</v>
      </c>
      <c r="X137" s="139">
        <f>SUM($F137:K137)</f>
        <v>8761.52</v>
      </c>
      <c r="Y137" s="139">
        <f>SUM($F137:L137)</f>
        <v>10294.58</v>
      </c>
      <c r="Z137" s="139">
        <f>SUM($F137:M137)</f>
        <v>12030.16</v>
      </c>
      <c r="AA137" s="139">
        <f>SUM($F137:N137)</f>
        <v>13612.91</v>
      </c>
      <c r="AB137" s="139">
        <f>SUM($F137:O137)</f>
        <v>15118.46</v>
      </c>
      <c r="AC137" s="139">
        <f>SUM($F137:P137)</f>
        <v>16321.869999999999</v>
      </c>
      <c r="AD137" s="139">
        <f>SUM($F137:Q137)</f>
        <v>18034.32</v>
      </c>
    </row>
    <row r="138" spans="1:30" x14ac:dyDescent="0.25">
      <c r="A138" s="106">
        <v>133</v>
      </c>
      <c r="C138" s="1" t="s">
        <v>93</v>
      </c>
      <c r="E138" s="101"/>
      <c r="F138" s="71">
        <v>941</v>
      </c>
      <c r="G138" s="71">
        <v>941</v>
      </c>
      <c r="H138" s="71">
        <v>995</v>
      </c>
      <c r="I138" s="71">
        <v>995</v>
      </c>
      <c r="J138" s="71">
        <v>995</v>
      </c>
      <c r="K138" s="71">
        <v>995</v>
      </c>
      <c r="L138" s="71">
        <v>995</v>
      </c>
      <c r="M138" s="71">
        <v>1606.85</v>
      </c>
      <c r="N138" s="71">
        <v>968</v>
      </c>
      <c r="O138" s="71">
        <v>968</v>
      </c>
      <c r="P138" s="71">
        <v>968</v>
      </c>
      <c r="Q138" s="71">
        <v>968</v>
      </c>
      <c r="R138" s="79">
        <f t="shared" si="67"/>
        <v>12335.85</v>
      </c>
      <c r="S138" s="139">
        <f t="shared" si="68"/>
        <v>941</v>
      </c>
      <c r="T138" s="139">
        <f>SUM($F138:G138)</f>
        <v>1882</v>
      </c>
      <c r="U138" s="139">
        <f>SUM($F138:H138)</f>
        <v>2877</v>
      </c>
      <c r="V138" s="139">
        <f>SUM($F138:I138)</f>
        <v>3872</v>
      </c>
      <c r="W138" s="139">
        <f>SUM($F138:J138)</f>
        <v>4867</v>
      </c>
      <c r="X138" s="139">
        <f>SUM($F138:K138)</f>
        <v>5862</v>
      </c>
      <c r="Y138" s="139">
        <f>SUM($F138:L138)</f>
        <v>6857</v>
      </c>
      <c r="Z138" s="139">
        <f>SUM($F138:M138)</f>
        <v>8463.85</v>
      </c>
      <c r="AA138" s="139">
        <f>SUM($F138:N138)</f>
        <v>9431.85</v>
      </c>
      <c r="AB138" s="139">
        <f>SUM($F138:O138)</f>
        <v>10399.85</v>
      </c>
      <c r="AC138" s="139">
        <f>SUM($F138:P138)</f>
        <v>11367.85</v>
      </c>
      <c r="AD138" s="139">
        <f>SUM($F138:Q138)</f>
        <v>12335.85</v>
      </c>
    </row>
    <row r="139" spans="1:30" x14ac:dyDescent="0.25">
      <c r="A139" s="106">
        <v>134</v>
      </c>
      <c r="C139" s="1" t="s">
        <v>94</v>
      </c>
      <c r="E139" s="101"/>
      <c r="F139" s="71">
        <v>318.26</v>
      </c>
      <c r="G139" s="71">
        <v>316.76</v>
      </c>
      <c r="H139" s="71">
        <v>317.32</v>
      </c>
      <c r="I139" s="71">
        <v>316.57</v>
      </c>
      <c r="J139" s="71">
        <v>312.64999999999998</v>
      </c>
      <c r="K139" s="71">
        <v>320.20999999999998</v>
      </c>
      <c r="L139" s="71">
        <v>535.25</v>
      </c>
      <c r="M139" s="71">
        <v>323.95999999999998</v>
      </c>
      <c r="N139" s="71">
        <v>325.24</v>
      </c>
      <c r="O139" s="71">
        <v>329.49</v>
      </c>
      <c r="P139" s="71">
        <v>310.3</v>
      </c>
      <c r="Q139" s="71">
        <v>871.69</v>
      </c>
      <c r="R139" s="79">
        <f t="shared" si="67"/>
        <v>4597.7000000000007</v>
      </c>
      <c r="S139" s="139">
        <f t="shared" si="68"/>
        <v>318.26</v>
      </c>
      <c r="T139" s="139">
        <f>SUM($F139:G139)</f>
        <v>635.02</v>
      </c>
      <c r="U139" s="139">
        <f>SUM($F139:H139)</f>
        <v>952.33999999999992</v>
      </c>
      <c r="V139" s="139">
        <f>SUM($F139:I139)</f>
        <v>1268.9099999999999</v>
      </c>
      <c r="W139" s="139">
        <f>SUM($F139:J139)</f>
        <v>1581.56</v>
      </c>
      <c r="X139" s="139">
        <f>SUM($F139:K139)</f>
        <v>1901.77</v>
      </c>
      <c r="Y139" s="139">
        <f>SUM($F139:L139)</f>
        <v>2437.02</v>
      </c>
      <c r="Z139" s="139">
        <f>SUM($F139:M139)</f>
        <v>2760.98</v>
      </c>
      <c r="AA139" s="139">
        <f>SUM($F139:N139)</f>
        <v>3086.2200000000003</v>
      </c>
      <c r="AB139" s="139">
        <f>SUM($F139:O139)</f>
        <v>3415.71</v>
      </c>
      <c r="AC139" s="139">
        <f>SUM($F139:P139)</f>
        <v>3726.01</v>
      </c>
      <c r="AD139" s="139">
        <f>SUM($F139:Q139)</f>
        <v>4597.7000000000007</v>
      </c>
    </row>
    <row r="140" spans="1:30" x14ac:dyDescent="0.25">
      <c r="A140" s="106">
        <v>135</v>
      </c>
      <c r="C140" s="1" t="s">
        <v>95</v>
      </c>
      <c r="E140" s="101"/>
      <c r="F140" s="71">
        <v>195.29</v>
      </c>
      <c r="G140" s="71">
        <v>0</v>
      </c>
      <c r="H140" s="71">
        <v>0</v>
      </c>
      <c r="I140" s="71">
        <v>168.46</v>
      </c>
      <c r="J140" s="71">
        <v>0</v>
      </c>
      <c r="K140" s="71">
        <v>0</v>
      </c>
      <c r="L140" s="71">
        <v>165.25</v>
      </c>
      <c r="M140" s="71">
        <v>0</v>
      </c>
      <c r="N140" s="71">
        <v>0</v>
      </c>
      <c r="O140" s="71">
        <v>213.15</v>
      </c>
      <c r="P140" s="71">
        <v>0</v>
      </c>
      <c r="Q140" s="71">
        <v>0</v>
      </c>
      <c r="R140" s="79">
        <f t="shared" si="67"/>
        <v>742.15</v>
      </c>
      <c r="S140" s="139">
        <f t="shared" si="68"/>
        <v>195.29</v>
      </c>
      <c r="T140" s="139">
        <f>SUM($F140:G140)</f>
        <v>195.29</v>
      </c>
      <c r="U140" s="139">
        <f>SUM($F140:H140)</f>
        <v>195.29</v>
      </c>
      <c r="V140" s="139">
        <f>SUM($F140:I140)</f>
        <v>363.75</v>
      </c>
      <c r="W140" s="139">
        <f>SUM($F140:J140)</f>
        <v>363.75</v>
      </c>
      <c r="X140" s="139">
        <f>SUM($F140:K140)</f>
        <v>363.75</v>
      </c>
      <c r="Y140" s="139">
        <f>SUM($F140:L140)</f>
        <v>529</v>
      </c>
      <c r="Z140" s="139">
        <f>SUM($F140:M140)</f>
        <v>529</v>
      </c>
      <c r="AA140" s="139">
        <f>SUM($F140:N140)</f>
        <v>529</v>
      </c>
      <c r="AB140" s="139">
        <f>SUM($F140:O140)</f>
        <v>742.15</v>
      </c>
      <c r="AC140" s="139">
        <f>SUM($F140:P140)</f>
        <v>742.15</v>
      </c>
      <c r="AD140" s="139">
        <f>SUM($F140:Q140)</f>
        <v>742.15</v>
      </c>
    </row>
    <row r="141" spans="1:30" x14ac:dyDescent="0.25">
      <c r="A141" s="106">
        <v>136</v>
      </c>
      <c r="C141" s="1" t="s">
        <v>96</v>
      </c>
      <c r="E141" s="101"/>
      <c r="F141" s="71">
        <v>335</v>
      </c>
      <c r="G141" s="71">
        <v>195</v>
      </c>
      <c r="H141" s="71">
        <v>315</v>
      </c>
      <c r="I141" s="71">
        <v>210</v>
      </c>
      <c r="J141" s="71">
        <v>210</v>
      </c>
      <c r="K141" s="71">
        <v>473.4</v>
      </c>
      <c r="L141" s="71">
        <v>210</v>
      </c>
      <c r="M141" s="71">
        <v>595.89</v>
      </c>
      <c r="N141" s="71">
        <v>210</v>
      </c>
      <c r="O141" s="71">
        <v>210</v>
      </c>
      <c r="P141" s="71">
        <v>261.44</v>
      </c>
      <c r="Q141" s="71">
        <v>308.55</v>
      </c>
      <c r="R141" s="79">
        <f t="shared" si="67"/>
        <v>3534.28</v>
      </c>
      <c r="S141" s="139">
        <f t="shared" si="68"/>
        <v>335</v>
      </c>
      <c r="T141" s="139">
        <f>SUM($F141:G141)</f>
        <v>530</v>
      </c>
      <c r="U141" s="139">
        <f>SUM($F141:H141)</f>
        <v>845</v>
      </c>
      <c r="V141" s="139">
        <f>SUM($F141:I141)</f>
        <v>1055</v>
      </c>
      <c r="W141" s="139">
        <f>SUM($F141:J141)</f>
        <v>1265</v>
      </c>
      <c r="X141" s="139">
        <f>SUM($F141:K141)</f>
        <v>1738.4</v>
      </c>
      <c r="Y141" s="139">
        <f>SUM($F141:L141)</f>
        <v>1948.4</v>
      </c>
      <c r="Z141" s="139">
        <f>SUM($F141:M141)</f>
        <v>2544.29</v>
      </c>
      <c r="AA141" s="139">
        <f>SUM($F141:N141)</f>
        <v>2754.29</v>
      </c>
      <c r="AB141" s="139">
        <f>SUM($F141:O141)</f>
        <v>2964.29</v>
      </c>
      <c r="AC141" s="139">
        <f>SUM($F141:P141)</f>
        <v>3225.73</v>
      </c>
      <c r="AD141" s="139">
        <f>SUM($F141:Q141)</f>
        <v>3534.28</v>
      </c>
    </row>
    <row r="142" spans="1:30" x14ac:dyDescent="0.25">
      <c r="A142" s="106">
        <v>137</v>
      </c>
      <c r="C142" s="1" t="s">
        <v>97</v>
      </c>
      <c r="E142" s="101"/>
      <c r="F142" s="71">
        <v>196.07</v>
      </c>
      <c r="G142" s="71">
        <v>31.64</v>
      </c>
      <c r="H142" s="71">
        <v>439.44</v>
      </c>
      <c r="I142" s="71">
        <v>348.2</v>
      </c>
      <c r="J142" s="71">
        <v>311.83999999999997</v>
      </c>
      <c r="K142" s="71">
        <v>209.64</v>
      </c>
      <c r="L142" s="71">
        <v>208.83</v>
      </c>
      <c r="M142" s="71">
        <v>198.11</v>
      </c>
      <c r="N142" s="71">
        <v>312.37</v>
      </c>
      <c r="O142" s="71">
        <v>223.51</v>
      </c>
      <c r="P142" s="71">
        <v>236.76</v>
      </c>
      <c r="Q142" s="71">
        <v>232.16</v>
      </c>
      <c r="R142" s="79">
        <f t="shared" si="67"/>
        <v>2948.5699999999997</v>
      </c>
      <c r="S142" s="139">
        <f t="shared" si="68"/>
        <v>196.07</v>
      </c>
      <c r="T142" s="139">
        <f>SUM($F142:G142)</f>
        <v>227.70999999999998</v>
      </c>
      <c r="U142" s="139">
        <f>SUM($F142:H142)</f>
        <v>667.15</v>
      </c>
      <c r="V142" s="139">
        <f>SUM($F142:I142)</f>
        <v>1015.3499999999999</v>
      </c>
      <c r="W142" s="139">
        <f>SUM($F142:J142)</f>
        <v>1327.1899999999998</v>
      </c>
      <c r="X142" s="139">
        <f>SUM($F142:K142)</f>
        <v>1536.83</v>
      </c>
      <c r="Y142" s="139">
        <f>SUM($F142:L142)</f>
        <v>1745.6599999999999</v>
      </c>
      <c r="Z142" s="139">
        <f>SUM($F142:M142)</f>
        <v>1943.77</v>
      </c>
      <c r="AA142" s="139">
        <f>SUM($F142:N142)</f>
        <v>2256.14</v>
      </c>
      <c r="AB142" s="139">
        <f>SUM($F142:O142)</f>
        <v>2479.6499999999996</v>
      </c>
      <c r="AC142" s="139">
        <f>SUM($F142:P142)</f>
        <v>2716.41</v>
      </c>
      <c r="AD142" s="139">
        <f>SUM($F142:Q142)</f>
        <v>2948.5699999999997</v>
      </c>
    </row>
    <row r="143" spans="1:30" x14ac:dyDescent="0.25">
      <c r="A143" s="106">
        <v>138</v>
      </c>
      <c r="C143" s="1" t="s">
        <v>98</v>
      </c>
      <c r="E143" s="101"/>
      <c r="F143" s="71">
        <v>3163.5</v>
      </c>
      <c r="G143" s="71">
        <v>0</v>
      </c>
      <c r="H143" s="71">
        <v>0</v>
      </c>
      <c r="I143" s="71">
        <v>0</v>
      </c>
      <c r="J143" s="71">
        <v>0</v>
      </c>
      <c r="K143" s="71">
        <v>0</v>
      </c>
      <c r="L143" s="71">
        <v>0</v>
      </c>
      <c r="M143" s="71">
        <v>0</v>
      </c>
      <c r="N143" s="71">
        <v>0</v>
      </c>
      <c r="O143" s="71">
        <v>0</v>
      </c>
      <c r="P143" s="71">
        <v>0</v>
      </c>
      <c r="Q143" s="71">
        <v>0</v>
      </c>
      <c r="R143" s="79">
        <f t="shared" si="67"/>
        <v>3163.5</v>
      </c>
      <c r="S143" s="139">
        <f t="shared" si="68"/>
        <v>3163.5</v>
      </c>
      <c r="T143" s="139">
        <f>SUM($F143:G143)</f>
        <v>3163.5</v>
      </c>
      <c r="U143" s="139">
        <f>SUM($F143:H143)</f>
        <v>3163.5</v>
      </c>
      <c r="V143" s="139">
        <f>SUM($F143:I143)</f>
        <v>3163.5</v>
      </c>
      <c r="W143" s="139">
        <f>SUM($F143:J143)</f>
        <v>3163.5</v>
      </c>
      <c r="X143" s="139">
        <f>SUM($F143:K143)</f>
        <v>3163.5</v>
      </c>
      <c r="Y143" s="139">
        <f>SUM($F143:L143)</f>
        <v>3163.5</v>
      </c>
      <c r="Z143" s="139">
        <f>SUM($F143:M143)</f>
        <v>3163.5</v>
      </c>
      <c r="AA143" s="139">
        <f>SUM($F143:N143)</f>
        <v>3163.5</v>
      </c>
      <c r="AB143" s="139">
        <f>SUM($F143:O143)</f>
        <v>3163.5</v>
      </c>
      <c r="AC143" s="139">
        <f>SUM($F143:P143)</f>
        <v>3163.5</v>
      </c>
      <c r="AD143" s="139">
        <f>SUM($F143:Q143)</f>
        <v>3163.5</v>
      </c>
    </row>
    <row r="144" spans="1:30" s="5" customFormat="1" x14ac:dyDescent="0.25">
      <c r="A144" s="106">
        <v>139</v>
      </c>
      <c r="B144" s="36" t="s">
        <v>99</v>
      </c>
      <c r="C144" s="36"/>
      <c r="D144" s="36"/>
      <c r="E144" s="97"/>
      <c r="F144" s="81">
        <f t="shared" ref="F144:Q144" si="69">SUM(F137:F143)</f>
        <v>6873.5599999999995</v>
      </c>
      <c r="G144" s="81">
        <f t="shared" si="69"/>
        <v>3127.43</v>
      </c>
      <c r="H144" s="81">
        <f t="shared" si="69"/>
        <v>3564.2300000000005</v>
      </c>
      <c r="I144" s="81">
        <f t="shared" si="69"/>
        <v>3361.42</v>
      </c>
      <c r="J144" s="81">
        <f t="shared" si="69"/>
        <v>3006.6400000000003</v>
      </c>
      <c r="K144" s="81">
        <f t="shared" si="69"/>
        <v>3394.49</v>
      </c>
      <c r="L144" s="81">
        <f t="shared" si="69"/>
        <v>3647.39</v>
      </c>
      <c r="M144" s="81">
        <f t="shared" si="69"/>
        <v>4460.3899999999994</v>
      </c>
      <c r="N144" s="81">
        <f t="shared" si="69"/>
        <v>3398.3599999999997</v>
      </c>
      <c r="O144" s="81">
        <f t="shared" si="69"/>
        <v>3449.7</v>
      </c>
      <c r="P144" s="81">
        <f t="shared" si="69"/>
        <v>2979.91</v>
      </c>
      <c r="Q144" s="81">
        <f t="shared" si="69"/>
        <v>4092.85</v>
      </c>
      <c r="R144" s="81">
        <f>SUM(R137:R143)</f>
        <v>45356.369999999995</v>
      </c>
      <c r="S144" s="150">
        <f t="shared" ref="S144:AD144" si="70">SUM(S137:S143)</f>
        <v>6873.5599999999995</v>
      </c>
      <c r="T144" s="150">
        <f t="shared" si="70"/>
        <v>10000.99</v>
      </c>
      <c r="U144" s="150">
        <f t="shared" si="70"/>
        <v>13565.220000000001</v>
      </c>
      <c r="V144" s="150">
        <f t="shared" si="70"/>
        <v>16926.64</v>
      </c>
      <c r="W144" s="150">
        <f t="shared" si="70"/>
        <v>19933.28</v>
      </c>
      <c r="X144" s="150">
        <f t="shared" si="70"/>
        <v>23327.770000000004</v>
      </c>
      <c r="Y144" s="150">
        <f t="shared" si="70"/>
        <v>26975.160000000003</v>
      </c>
      <c r="Z144" s="150">
        <f t="shared" si="70"/>
        <v>31435.550000000003</v>
      </c>
      <c r="AA144" s="150">
        <f t="shared" si="70"/>
        <v>34833.910000000003</v>
      </c>
      <c r="AB144" s="150">
        <f t="shared" si="70"/>
        <v>38283.61</v>
      </c>
      <c r="AC144" s="150">
        <f t="shared" si="70"/>
        <v>41263.520000000004</v>
      </c>
      <c r="AD144" s="150">
        <f t="shared" si="70"/>
        <v>45356.369999999995</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1"/>
      <c r="F147" s="71">
        <v>2711</v>
      </c>
      <c r="G147" s="71">
        <v>0</v>
      </c>
      <c r="H147" s="71">
        <v>0</v>
      </c>
      <c r="I147" s="71">
        <v>2711</v>
      </c>
      <c r="J147" s="71">
        <v>0</v>
      </c>
      <c r="K147" s="71">
        <v>0</v>
      </c>
      <c r="L147" s="71">
        <v>2918</v>
      </c>
      <c r="M147" s="71">
        <v>0</v>
      </c>
      <c r="N147" s="71">
        <v>-1491.59</v>
      </c>
      <c r="O147" s="71">
        <v>2918</v>
      </c>
      <c r="P147" s="71">
        <v>0</v>
      </c>
      <c r="Q147" s="71">
        <v>0</v>
      </c>
      <c r="R147" s="79">
        <f t="shared" ref="R147:R154" si="71">SUM(F147:Q147)</f>
        <v>9766.41</v>
      </c>
      <c r="S147" s="139">
        <f t="shared" ref="S147:S154" si="72">SUM(F147)</f>
        <v>2711</v>
      </c>
      <c r="T147" s="139">
        <f>SUM($F147:G147)</f>
        <v>2711</v>
      </c>
      <c r="U147" s="139">
        <f>SUM($F147:H147)</f>
        <v>2711</v>
      </c>
      <c r="V147" s="139">
        <f>SUM($F147:I147)</f>
        <v>5422</v>
      </c>
      <c r="W147" s="139">
        <f>SUM($F147:J147)</f>
        <v>5422</v>
      </c>
      <c r="X147" s="139">
        <f>SUM($F147:K147)</f>
        <v>5422</v>
      </c>
      <c r="Y147" s="139">
        <f>SUM($F147:L147)</f>
        <v>8340</v>
      </c>
      <c r="Z147" s="139">
        <f>SUM($F147:M147)</f>
        <v>8340</v>
      </c>
      <c r="AA147" s="139">
        <f>SUM($F147:N147)</f>
        <v>6848.41</v>
      </c>
      <c r="AB147" s="139">
        <f>SUM($F147:O147)</f>
        <v>9766.41</v>
      </c>
      <c r="AC147" s="139">
        <f>SUM($F147:P147)</f>
        <v>9766.41</v>
      </c>
      <c r="AD147" s="139">
        <f>SUM($F147:Q147)</f>
        <v>9766.41</v>
      </c>
    </row>
    <row r="148" spans="1:30" x14ac:dyDescent="0.25">
      <c r="A148" s="106">
        <v>143</v>
      </c>
      <c r="C148" s="1" t="s">
        <v>102</v>
      </c>
      <c r="E148" s="101"/>
      <c r="F148" s="71">
        <v>1849</v>
      </c>
      <c r="G148" s="71">
        <v>2350.25</v>
      </c>
      <c r="H148" s="71">
        <v>1451</v>
      </c>
      <c r="I148" s="71">
        <v>0</v>
      </c>
      <c r="J148" s="71">
        <v>0</v>
      </c>
      <c r="K148" s="71">
        <v>0</v>
      </c>
      <c r="L148" s="71">
        <v>0</v>
      </c>
      <c r="M148" s="71">
        <v>0</v>
      </c>
      <c r="N148" s="71">
        <v>0</v>
      </c>
      <c r="O148" s="71">
        <v>0</v>
      </c>
      <c r="P148" s="71">
        <v>0</v>
      </c>
      <c r="Q148" s="71">
        <v>50</v>
      </c>
      <c r="R148" s="79">
        <f t="shared" si="71"/>
        <v>5700.25</v>
      </c>
      <c r="S148" s="139">
        <f t="shared" si="72"/>
        <v>1849</v>
      </c>
      <c r="T148" s="139">
        <f>SUM($F148:G148)</f>
        <v>4199.25</v>
      </c>
      <c r="U148" s="139">
        <f>SUM($F148:H148)</f>
        <v>5650.25</v>
      </c>
      <c r="V148" s="139">
        <f>SUM($F148:I148)</f>
        <v>5650.25</v>
      </c>
      <c r="W148" s="139">
        <f>SUM($F148:J148)</f>
        <v>5650.25</v>
      </c>
      <c r="X148" s="139">
        <f>SUM($F148:K148)</f>
        <v>5650.25</v>
      </c>
      <c r="Y148" s="139">
        <f>SUM($F148:L148)</f>
        <v>5650.25</v>
      </c>
      <c r="Z148" s="139">
        <f>SUM($F148:M148)</f>
        <v>5650.25</v>
      </c>
      <c r="AA148" s="139">
        <f>SUM($F148:N148)</f>
        <v>5650.25</v>
      </c>
      <c r="AB148" s="139">
        <f>SUM($F148:O148)</f>
        <v>5650.25</v>
      </c>
      <c r="AC148" s="139">
        <f>SUM($F148:P148)</f>
        <v>5650.25</v>
      </c>
      <c r="AD148" s="139">
        <f>SUM($F148:Q148)</f>
        <v>5700.25</v>
      </c>
    </row>
    <row r="149" spans="1:30" x14ac:dyDescent="0.25">
      <c r="A149" s="106">
        <v>144</v>
      </c>
      <c r="C149" s="1" t="s">
        <v>103</v>
      </c>
      <c r="E149" s="101"/>
      <c r="F149" s="71">
        <v>24.27</v>
      </c>
      <c r="G149" s="71">
        <v>437.75</v>
      </c>
      <c r="H149" s="71">
        <v>70.64</v>
      </c>
      <c r="I149" s="71">
        <v>88</v>
      </c>
      <c r="J149" s="71">
        <v>432.21</v>
      </c>
      <c r="K149" s="71">
        <v>479.03</v>
      </c>
      <c r="L149" s="71">
        <v>144.94999999999999</v>
      </c>
      <c r="M149" s="71">
        <v>155.41</v>
      </c>
      <c r="N149" s="71">
        <v>168.27</v>
      </c>
      <c r="O149" s="71">
        <v>19.86</v>
      </c>
      <c r="P149" s="71">
        <v>34.42</v>
      </c>
      <c r="Q149" s="71">
        <v>674.56</v>
      </c>
      <c r="R149" s="79">
        <f t="shared" si="71"/>
        <v>2729.37</v>
      </c>
      <c r="S149" s="139">
        <f t="shared" si="72"/>
        <v>24.27</v>
      </c>
      <c r="T149" s="139">
        <f>SUM($F149:G149)</f>
        <v>462.02</v>
      </c>
      <c r="U149" s="139">
        <f>SUM($F149:H149)</f>
        <v>532.66</v>
      </c>
      <c r="V149" s="139">
        <f>SUM($F149:I149)</f>
        <v>620.66</v>
      </c>
      <c r="W149" s="139">
        <f>SUM($F149:J149)</f>
        <v>1052.8699999999999</v>
      </c>
      <c r="X149" s="139">
        <f>SUM($F149:K149)</f>
        <v>1531.8999999999999</v>
      </c>
      <c r="Y149" s="139">
        <f>SUM($F149:L149)</f>
        <v>1676.85</v>
      </c>
      <c r="Z149" s="139">
        <f>SUM($F149:M149)</f>
        <v>1832.26</v>
      </c>
      <c r="AA149" s="139">
        <f>SUM($F149:N149)</f>
        <v>2000.53</v>
      </c>
      <c r="AB149" s="139">
        <f>SUM($F149:O149)</f>
        <v>2020.3899999999999</v>
      </c>
      <c r="AC149" s="139">
        <f>SUM($F149:P149)</f>
        <v>2054.81</v>
      </c>
      <c r="AD149" s="139">
        <f>SUM($F149:Q149)</f>
        <v>2729.37</v>
      </c>
    </row>
    <row r="150" spans="1:30" ht="28.5" customHeight="1" x14ac:dyDescent="0.25">
      <c r="A150" s="106">
        <v>145</v>
      </c>
      <c r="C150" s="223" t="s">
        <v>129</v>
      </c>
      <c r="D150" s="223"/>
      <c r="E150" s="101"/>
      <c r="F150" s="71">
        <v>125.62</v>
      </c>
      <c r="G150" s="71">
        <v>126.17</v>
      </c>
      <c r="H150" s="71">
        <v>1048.23</v>
      </c>
      <c r="I150" s="71">
        <v>149.43</v>
      </c>
      <c r="J150" s="71">
        <v>128.71</v>
      </c>
      <c r="K150" s="71">
        <v>150.02000000000001</v>
      </c>
      <c r="L150" s="71">
        <v>127.98</v>
      </c>
      <c r="M150" s="71">
        <v>207.79</v>
      </c>
      <c r="N150" s="71">
        <v>149.1</v>
      </c>
      <c r="O150" s="71">
        <v>331.65</v>
      </c>
      <c r="P150" s="71">
        <v>204.38</v>
      </c>
      <c r="Q150" s="71">
        <v>157.97</v>
      </c>
      <c r="R150" s="79">
        <f t="shared" si="71"/>
        <v>2907.05</v>
      </c>
      <c r="S150" s="139">
        <f t="shared" si="72"/>
        <v>125.62</v>
      </c>
      <c r="T150" s="139">
        <f>SUM($F150:G150)</f>
        <v>251.79000000000002</v>
      </c>
      <c r="U150" s="139">
        <f>SUM($F150:H150)</f>
        <v>1300.02</v>
      </c>
      <c r="V150" s="139">
        <f>SUM($F150:I150)</f>
        <v>1449.45</v>
      </c>
      <c r="W150" s="139">
        <f>SUM($F150:J150)</f>
        <v>1578.16</v>
      </c>
      <c r="X150" s="139">
        <f>SUM($F150:K150)</f>
        <v>1728.18</v>
      </c>
      <c r="Y150" s="139">
        <f>SUM($F150:L150)</f>
        <v>1856.16</v>
      </c>
      <c r="Z150" s="139">
        <f>SUM($F150:M150)</f>
        <v>2063.9500000000003</v>
      </c>
      <c r="AA150" s="139">
        <f>SUM($F150:N150)</f>
        <v>2213.0500000000002</v>
      </c>
      <c r="AB150" s="139">
        <f>SUM($F150:O150)</f>
        <v>2544.7000000000003</v>
      </c>
      <c r="AC150" s="139">
        <f>SUM($F150:P150)</f>
        <v>2749.0800000000004</v>
      </c>
      <c r="AD150" s="139">
        <f>SUM($F150:Q150)</f>
        <v>2907.05</v>
      </c>
    </row>
    <row r="151" spans="1:30" x14ac:dyDescent="0.25">
      <c r="A151" s="106">
        <v>146</v>
      </c>
      <c r="C151" s="1" t="s">
        <v>104</v>
      </c>
      <c r="E151" s="101"/>
      <c r="F151" s="71">
        <v>398</v>
      </c>
      <c r="G151" s="71">
        <v>0</v>
      </c>
      <c r="H151" s="71">
        <v>0</v>
      </c>
      <c r="I151" s="71">
        <v>0</v>
      </c>
      <c r="J151" s="71">
        <v>420</v>
      </c>
      <c r="K151" s="71">
        <v>318.57</v>
      </c>
      <c r="L151" s="71">
        <v>4723.97</v>
      </c>
      <c r="M151" s="71">
        <v>0</v>
      </c>
      <c r="N151" s="71">
        <v>1300</v>
      </c>
      <c r="O151" s="71">
        <v>104.3</v>
      </c>
      <c r="P151" s="71">
        <v>682.79</v>
      </c>
      <c r="Q151" s="71">
        <v>2635</v>
      </c>
      <c r="R151" s="79">
        <f t="shared" si="71"/>
        <v>10582.630000000001</v>
      </c>
      <c r="S151" s="139">
        <f t="shared" si="72"/>
        <v>398</v>
      </c>
      <c r="T151" s="139">
        <f>SUM($F151:G151)</f>
        <v>398</v>
      </c>
      <c r="U151" s="139">
        <f>SUM($F151:H151)</f>
        <v>398</v>
      </c>
      <c r="V151" s="139">
        <f>SUM($F151:I151)</f>
        <v>398</v>
      </c>
      <c r="W151" s="139">
        <f>SUM($F151:J151)</f>
        <v>818</v>
      </c>
      <c r="X151" s="139">
        <f>SUM($F151:K151)</f>
        <v>1136.57</v>
      </c>
      <c r="Y151" s="139">
        <f>SUM($F151:L151)</f>
        <v>5860.54</v>
      </c>
      <c r="Z151" s="139">
        <f>SUM($F151:M151)</f>
        <v>5860.54</v>
      </c>
      <c r="AA151" s="139">
        <f>SUM($F151:N151)</f>
        <v>7160.54</v>
      </c>
      <c r="AB151" s="139">
        <f>SUM($F151:O151)</f>
        <v>7264.84</v>
      </c>
      <c r="AC151" s="139">
        <f>SUM($F151:P151)</f>
        <v>7947.63</v>
      </c>
      <c r="AD151" s="139">
        <f>SUM($F151:Q151)</f>
        <v>10582.630000000001</v>
      </c>
    </row>
    <row r="152" spans="1:30" x14ac:dyDescent="0.25">
      <c r="A152" s="106">
        <v>147</v>
      </c>
      <c r="C152" s="1" t="s">
        <v>105</v>
      </c>
      <c r="E152" s="101"/>
      <c r="F152" s="71">
        <v>0</v>
      </c>
      <c r="G152" s="71">
        <v>0</v>
      </c>
      <c r="H152" s="71">
        <v>0</v>
      </c>
      <c r="I152" s="71">
        <v>0</v>
      </c>
      <c r="J152" s="71">
        <v>0</v>
      </c>
      <c r="K152" s="71">
        <v>0</v>
      </c>
      <c r="L152" s="71">
        <v>0</v>
      </c>
      <c r="M152" s="71">
        <v>0</v>
      </c>
      <c r="N152" s="71">
        <v>0</v>
      </c>
      <c r="O152" s="71">
        <v>0</v>
      </c>
      <c r="P152" s="71">
        <v>0</v>
      </c>
      <c r="Q152" s="71">
        <v>0</v>
      </c>
      <c r="R152" s="79">
        <f t="shared" si="71"/>
        <v>0</v>
      </c>
      <c r="S152" s="139">
        <f t="shared" si="72"/>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71">
        <v>4573</v>
      </c>
      <c r="G153" s="71">
        <v>4573</v>
      </c>
      <c r="H153" s="71">
        <v>4573</v>
      </c>
      <c r="I153" s="71">
        <v>4573</v>
      </c>
      <c r="J153" s="71">
        <v>4573</v>
      </c>
      <c r="K153" s="71">
        <v>4573</v>
      </c>
      <c r="L153" s="71">
        <v>9146</v>
      </c>
      <c r="M153" s="71">
        <v>0</v>
      </c>
      <c r="N153" s="71">
        <v>4573</v>
      </c>
      <c r="O153" s="71">
        <v>4573</v>
      </c>
      <c r="P153" s="71">
        <v>4573</v>
      </c>
      <c r="Q153" s="71">
        <v>4573</v>
      </c>
      <c r="R153" s="79">
        <f t="shared" si="71"/>
        <v>54876</v>
      </c>
      <c r="S153" s="139">
        <f t="shared" si="72"/>
        <v>4573</v>
      </c>
      <c r="T153" s="139">
        <f>SUM($F153:G153)</f>
        <v>9146</v>
      </c>
      <c r="U153" s="139">
        <f>SUM($F153:H153)</f>
        <v>13719</v>
      </c>
      <c r="V153" s="139">
        <f>SUM($F153:I153)</f>
        <v>18292</v>
      </c>
      <c r="W153" s="139">
        <f>SUM($F153:J153)</f>
        <v>22865</v>
      </c>
      <c r="X153" s="139">
        <f>SUM($F153:K153)</f>
        <v>27438</v>
      </c>
      <c r="Y153" s="139">
        <f>SUM($F153:L153)</f>
        <v>36584</v>
      </c>
      <c r="Z153" s="139">
        <f>SUM($F153:M153)</f>
        <v>36584</v>
      </c>
      <c r="AA153" s="139">
        <f>SUM($F153:N153)</f>
        <v>41157</v>
      </c>
      <c r="AB153" s="139">
        <f>SUM($F153:O153)</f>
        <v>45730</v>
      </c>
      <c r="AC153" s="139">
        <f>SUM($F153:P153)</f>
        <v>50303</v>
      </c>
      <c r="AD153" s="139">
        <f>SUM($F153:Q153)</f>
        <v>54876</v>
      </c>
    </row>
    <row r="154" spans="1:30" x14ac:dyDescent="0.25">
      <c r="A154" s="106">
        <v>149</v>
      </c>
      <c r="C154" s="1" t="s">
        <v>106</v>
      </c>
      <c r="E154" s="101"/>
      <c r="F154" s="71">
        <v>102.6</v>
      </c>
      <c r="G154" s="71">
        <v>99.33</v>
      </c>
      <c r="H154" s="71">
        <v>96.01</v>
      </c>
      <c r="I154" s="71">
        <v>102.64</v>
      </c>
      <c r="J154" s="71">
        <v>99.32</v>
      </c>
      <c r="K154" s="71">
        <v>102.64</v>
      </c>
      <c r="L154" s="71">
        <v>0</v>
      </c>
      <c r="M154" s="71">
        <v>142.38</v>
      </c>
      <c r="N154" s="71">
        <v>55.28</v>
      </c>
      <c r="O154" s="71">
        <v>53.49</v>
      </c>
      <c r="P154" s="71">
        <v>55.27</v>
      </c>
      <c r="Q154" s="71">
        <v>53.5</v>
      </c>
      <c r="R154" s="79">
        <f t="shared" si="71"/>
        <v>962.45999999999992</v>
      </c>
      <c r="S154" s="139">
        <f t="shared" si="72"/>
        <v>102.6</v>
      </c>
      <c r="T154" s="139">
        <f>SUM($F154:G154)</f>
        <v>201.93</v>
      </c>
      <c r="U154" s="139">
        <f>SUM($F154:H154)</f>
        <v>297.94</v>
      </c>
      <c r="V154" s="139">
        <f>SUM($F154:I154)</f>
        <v>400.58</v>
      </c>
      <c r="W154" s="139">
        <f>SUM($F154:J154)</f>
        <v>499.9</v>
      </c>
      <c r="X154" s="139">
        <f>SUM($F154:K154)</f>
        <v>602.54</v>
      </c>
      <c r="Y154" s="139">
        <f>SUM($F154:L154)</f>
        <v>602.54</v>
      </c>
      <c r="Z154" s="139">
        <f>SUM($F154:M154)</f>
        <v>744.92</v>
      </c>
      <c r="AA154" s="139">
        <f>SUM($F154:N154)</f>
        <v>800.19999999999993</v>
      </c>
      <c r="AB154" s="139">
        <f>SUM($F154:O154)</f>
        <v>853.68999999999994</v>
      </c>
      <c r="AC154" s="139">
        <f>SUM($F154:P154)</f>
        <v>908.95999999999992</v>
      </c>
      <c r="AD154" s="139">
        <f>SUM($F154:Q154)</f>
        <v>962.45999999999992</v>
      </c>
    </row>
    <row r="155" spans="1:30" s="5" customFormat="1" x14ac:dyDescent="0.25">
      <c r="A155" s="106">
        <v>150</v>
      </c>
      <c r="B155" s="36" t="s">
        <v>108</v>
      </c>
      <c r="C155" s="36"/>
      <c r="D155" s="36"/>
      <c r="E155" s="97"/>
      <c r="F155" s="81">
        <f t="shared" ref="F155:Q155" si="73">SUM(F147:F154)</f>
        <v>9783.49</v>
      </c>
      <c r="G155" s="81">
        <f t="shared" si="73"/>
        <v>7586.5</v>
      </c>
      <c r="H155" s="81">
        <f t="shared" si="73"/>
        <v>7238.88</v>
      </c>
      <c r="I155" s="81">
        <f t="shared" si="73"/>
        <v>7624.0700000000006</v>
      </c>
      <c r="J155" s="81">
        <f t="shared" si="73"/>
        <v>5653.24</v>
      </c>
      <c r="K155" s="81">
        <f t="shared" si="73"/>
        <v>5623.26</v>
      </c>
      <c r="L155" s="81">
        <f t="shared" si="73"/>
        <v>17060.900000000001</v>
      </c>
      <c r="M155" s="81">
        <f t="shared" si="73"/>
        <v>505.58</v>
      </c>
      <c r="N155" s="81">
        <f t="shared" si="73"/>
        <v>4754.0599999999995</v>
      </c>
      <c r="O155" s="81">
        <f t="shared" si="73"/>
        <v>8000.3</v>
      </c>
      <c r="P155" s="81">
        <f t="shared" si="73"/>
        <v>5549.8600000000006</v>
      </c>
      <c r="Q155" s="81">
        <f t="shared" si="73"/>
        <v>8144.03</v>
      </c>
      <c r="R155" s="81">
        <f>SUM(R147:R154)</f>
        <v>87524.17</v>
      </c>
      <c r="S155" s="150">
        <f t="shared" ref="S155:AD155" si="74">SUM(S147:S154)</f>
        <v>9783.49</v>
      </c>
      <c r="T155" s="150">
        <f t="shared" si="74"/>
        <v>17369.990000000002</v>
      </c>
      <c r="U155" s="150">
        <f t="shared" si="74"/>
        <v>24608.87</v>
      </c>
      <c r="V155" s="150">
        <f t="shared" si="74"/>
        <v>32232.940000000002</v>
      </c>
      <c r="W155" s="150">
        <f t="shared" si="74"/>
        <v>37886.18</v>
      </c>
      <c r="X155" s="150">
        <f t="shared" si="74"/>
        <v>43509.440000000002</v>
      </c>
      <c r="Y155" s="150">
        <f t="shared" si="74"/>
        <v>60570.340000000004</v>
      </c>
      <c r="Z155" s="150">
        <f t="shared" si="74"/>
        <v>61075.92</v>
      </c>
      <c r="AA155" s="150">
        <f t="shared" si="74"/>
        <v>65829.98</v>
      </c>
      <c r="AB155" s="150">
        <f t="shared" si="74"/>
        <v>73830.28</v>
      </c>
      <c r="AC155" s="150">
        <f t="shared" si="74"/>
        <v>79380.140000000014</v>
      </c>
      <c r="AD155" s="150">
        <f t="shared" si="74"/>
        <v>87524.17</v>
      </c>
    </row>
    <row r="156" spans="1:30" x14ac:dyDescent="0.25">
      <c r="A156" s="106">
        <v>151</v>
      </c>
      <c r="B156" s="36" t="s">
        <v>109</v>
      </c>
      <c r="C156" s="36"/>
      <c r="D156" s="36"/>
      <c r="E156" s="97"/>
      <c r="F156" s="81">
        <f t="shared" ref="F156:Q156" si="75">+F144+F155</f>
        <v>16657.05</v>
      </c>
      <c r="G156" s="81">
        <f t="shared" si="75"/>
        <v>10713.93</v>
      </c>
      <c r="H156" s="81">
        <f t="shared" si="75"/>
        <v>10803.11</v>
      </c>
      <c r="I156" s="81">
        <f t="shared" si="75"/>
        <v>10985.490000000002</v>
      </c>
      <c r="J156" s="81">
        <f t="shared" si="75"/>
        <v>8659.880000000001</v>
      </c>
      <c r="K156" s="81">
        <f t="shared" si="75"/>
        <v>9017.75</v>
      </c>
      <c r="L156" s="81">
        <f t="shared" si="75"/>
        <v>20708.29</v>
      </c>
      <c r="M156" s="81">
        <f t="shared" si="75"/>
        <v>4965.9699999999993</v>
      </c>
      <c r="N156" s="81">
        <f t="shared" si="75"/>
        <v>8152.4199999999992</v>
      </c>
      <c r="O156" s="81">
        <f t="shared" si="75"/>
        <v>11450</v>
      </c>
      <c r="P156" s="81">
        <f t="shared" si="75"/>
        <v>8529.77</v>
      </c>
      <c r="Q156" s="81">
        <f t="shared" si="75"/>
        <v>12236.88</v>
      </c>
      <c r="R156" s="81">
        <f>+R144+R155</f>
        <v>132880.53999999998</v>
      </c>
      <c r="S156" s="150">
        <f t="shared" ref="S156:AD156" si="76">+S144+S155</f>
        <v>16657.05</v>
      </c>
      <c r="T156" s="150">
        <f t="shared" si="76"/>
        <v>27370.980000000003</v>
      </c>
      <c r="U156" s="150">
        <f t="shared" si="76"/>
        <v>38174.089999999997</v>
      </c>
      <c r="V156" s="150">
        <f t="shared" si="76"/>
        <v>49159.58</v>
      </c>
      <c r="W156" s="150">
        <f t="shared" si="76"/>
        <v>57819.46</v>
      </c>
      <c r="X156" s="150">
        <f t="shared" si="76"/>
        <v>66837.210000000006</v>
      </c>
      <c r="Y156" s="150">
        <f t="shared" si="76"/>
        <v>87545.5</v>
      </c>
      <c r="Z156" s="150">
        <f t="shared" si="76"/>
        <v>92511.47</v>
      </c>
      <c r="AA156" s="150">
        <f t="shared" si="76"/>
        <v>100663.89</v>
      </c>
      <c r="AB156" s="150">
        <f t="shared" si="76"/>
        <v>112113.89</v>
      </c>
      <c r="AC156" s="150">
        <f t="shared" si="76"/>
        <v>120643.66000000002</v>
      </c>
      <c r="AD156" s="150">
        <f t="shared" si="76"/>
        <v>132880.53999999998</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 t="shared" ref="R160:R163" si="77">SUM(F160:Q160)</f>
        <v>0</v>
      </c>
      <c r="S160" s="139">
        <f t="shared" ref="S160:S163" si="78">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1">
        <v>1250</v>
      </c>
      <c r="I161" s="71">
        <v>0</v>
      </c>
      <c r="J161" s="71">
        <v>0</v>
      </c>
      <c r="K161" s="71">
        <v>0</v>
      </c>
      <c r="L161" s="71">
        <v>1250</v>
      </c>
      <c r="M161" s="71">
        <v>0</v>
      </c>
      <c r="N161" s="71">
        <v>1250</v>
      </c>
      <c r="O161" s="71">
        <v>0</v>
      </c>
      <c r="P161" s="71">
        <v>0</v>
      </c>
      <c r="Q161" s="71">
        <v>0</v>
      </c>
      <c r="R161" s="79">
        <f t="shared" si="77"/>
        <v>3750</v>
      </c>
      <c r="S161" s="139">
        <f t="shared" si="78"/>
        <v>0</v>
      </c>
      <c r="T161" s="139">
        <f>SUM($F161:G161)</f>
        <v>0</v>
      </c>
      <c r="U161" s="139">
        <f>SUM($F161:H161)</f>
        <v>1250</v>
      </c>
      <c r="V161" s="139">
        <f>SUM($F161:I161)</f>
        <v>1250</v>
      </c>
      <c r="W161" s="139">
        <f>SUM($F161:J161)</f>
        <v>1250</v>
      </c>
      <c r="X161" s="139">
        <f>SUM($F161:K161)</f>
        <v>1250</v>
      </c>
      <c r="Y161" s="139">
        <f>SUM($F161:L161)</f>
        <v>2500</v>
      </c>
      <c r="Z161" s="139">
        <f>SUM($F161:M161)</f>
        <v>2500</v>
      </c>
      <c r="AA161" s="139">
        <f>SUM($F161:N161)</f>
        <v>3750</v>
      </c>
      <c r="AB161" s="139">
        <f>SUM($F161:O161)</f>
        <v>3750</v>
      </c>
      <c r="AC161" s="139">
        <f>SUM($F161:P161)</f>
        <v>3750</v>
      </c>
      <c r="AD161" s="139">
        <f>SUM($F161:Q161)</f>
        <v>3750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 t="shared" si="77"/>
        <v>0</v>
      </c>
      <c r="S162" s="139">
        <f t="shared" si="78"/>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71">
        <v>0</v>
      </c>
      <c r="G163" s="71">
        <v>0</v>
      </c>
      <c r="H163" s="71">
        <v>0</v>
      </c>
      <c r="I163" s="71">
        <v>0</v>
      </c>
      <c r="J163" s="71">
        <v>0</v>
      </c>
      <c r="K163" s="71">
        <v>0</v>
      </c>
      <c r="L163" s="71">
        <v>10000</v>
      </c>
      <c r="M163" s="71">
        <v>450</v>
      </c>
      <c r="N163" s="71">
        <v>0</v>
      </c>
      <c r="O163" s="71">
        <v>0</v>
      </c>
      <c r="P163" s="71">
        <v>0</v>
      </c>
      <c r="Q163" s="71">
        <v>-5000</v>
      </c>
      <c r="R163" s="79">
        <f t="shared" si="77"/>
        <v>5450</v>
      </c>
      <c r="S163" s="139">
        <f t="shared" si="78"/>
        <v>0</v>
      </c>
      <c r="T163" s="139">
        <f>SUM($F163:G163)</f>
        <v>0</v>
      </c>
      <c r="U163" s="139">
        <f>SUM($F163:H163)</f>
        <v>0</v>
      </c>
      <c r="V163" s="139">
        <f>SUM($F163:I163)</f>
        <v>0</v>
      </c>
      <c r="W163" s="139">
        <f>SUM($F163:J163)</f>
        <v>0</v>
      </c>
      <c r="X163" s="139">
        <f>SUM($F163:K163)</f>
        <v>0</v>
      </c>
      <c r="Y163" s="139">
        <f>SUM($F163:L163)</f>
        <v>10000</v>
      </c>
      <c r="Z163" s="139">
        <f>SUM($F163:M163)</f>
        <v>10450</v>
      </c>
      <c r="AA163" s="139">
        <f>SUM($F163:N163)</f>
        <v>10450</v>
      </c>
      <c r="AB163" s="139">
        <f>SUM($F163:O163)</f>
        <v>10450</v>
      </c>
      <c r="AC163" s="139">
        <f>SUM($F163:P163)</f>
        <v>10450</v>
      </c>
      <c r="AD163" s="139">
        <f>SUM($F163:Q163)</f>
        <v>5450</v>
      </c>
    </row>
    <row r="164" spans="1:30" s="5" customFormat="1" x14ac:dyDescent="0.25">
      <c r="A164" s="106">
        <v>159</v>
      </c>
      <c r="B164" s="38" t="s">
        <v>116</v>
      </c>
      <c r="C164" s="38"/>
      <c r="D164" s="38"/>
      <c r="E164" s="98"/>
      <c r="F164" s="82">
        <f t="shared" ref="F164:Q164" si="79">SUM(F160:F163)</f>
        <v>0</v>
      </c>
      <c r="G164" s="82">
        <f t="shared" si="79"/>
        <v>0</v>
      </c>
      <c r="H164" s="82">
        <f t="shared" si="79"/>
        <v>1250</v>
      </c>
      <c r="I164" s="82">
        <f t="shared" si="79"/>
        <v>0</v>
      </c>
      <c r="J164" s="82">
        <f t="shared" si="79"/>
        <v>0</v>
      </c>
      <c r="K164" s="82">
        <f t="shared" si="79"/>
        <v>0</v>
      </c>
      <c r="L164" s="82">
        <f t="shared" si="79"/>
        <v>11250</v>
      </c>
      <c r="M164" s="82">
        <f t="shared" si="79"/>
        <v>450</v>
      </c>
      <c r="N164" s="82">
        <f t="shared" si="79"/>
        <v>1250</v>
      </c>
      <c r="O164" s="82">
        <f t="shared" si="79"/>
        <v>0</v>
      </c>
      <c r="P164" s="82">
        <f t="shared" si="79"/>
        <v>0</v>
      </c>
      <c r="Q164" s="82">
        <f t="shared" si="79"/>
        <v>-5000</v>
      </c>
      <c r="R164" s="82">
        <f>SUM(R160:R163)</f>
        <v>9200</v>
      </c>
      <c r="S164" s="151">
        <f t="shared" ref="S164:AD164" si="80">SUM(S160:S163)</f>
        <v>0</v>
      </c>
      <c r="T164" s="151">
        <f t="shared" si="80"/>
        <v>0</v>
      </c>
      <c r="U164" s="151">
        <f t="shared" si="80"/>
        <v>1250</v>
      </c>
      <c r="V164" s="151">
        <f t="shared" si="80"/>
        <v>1250</v>
      </c>
      <c r="W164" s="151">
        <f t="shared" si="80"/>
        <v>1250</v>
      </c>
      <c r="X164" s="151">
        <f t="shared" si="80"/>
        <v>1250</v>
      </c>
      <c r="Y164" s="151">
        <f t="shared" si="80"/>
        <v>12500</v>
      </c>
      <c r="Z164" s="151">
        <f t="shared" si="80"/>
        <v>12950</v>
      </c>
      <c r="AA164" s="151">
        <f t="shared" si="80"/>
        <v>14200</v>
      </c>
      <c r="AB164" s="151">
        <f t="shared" si="80"/>
        <v>14200</v>
      </c>
      <c r="AC164" s="151">
        <f t="shared" si="80"/>
        <v>14200</v>
      </c>
      <c r="AD164" s="151">
        <f t="shared" si="80"/>
        <v>9200</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81">+F82+F133+F156+F164+F31</f>
        <v>45062.729999999996</v>
      </c>
      <c r="G166" s="83">
        <f t="shared" si="81"/>
        <v>45647.570000000007</v>
      </c>
      <c r="H166" s="83">
        <f t="shared" si="81"/>
        <v>54243.43</v>
      </c>
      <c r="I166" s="83">
        <f t="shared" si="81"/>
        <v>45840.72</v>
      </c>
      <c r="J166" s="83">
        <f t="shared" si="81"/>
        <v>41651.240000000005</v>
      </c>
      <c r="K166" s="83">
        <f t="shared" si="81"/>
        <v>50080.26</v>
      </c>
      <c r="L166" s="83">
        <f t="shared" si="81"/>
        <v>63774.87</v>
      </c>
      <c r="M166" s="83">
        <f t="shared" si="81"/>
        <v>42068.45</v>
      </c>
      <c r="N166" s="83">
        <f t="shared" si="81"/>
        <v>49143.95</v>
      </c>
      <c r="O166" s="83">
        <f t="shared" si="81"/>
        <v>47828.010000000009</v>
      </c>
      <c r="P166" s="83">
        <f t="shared" si="81"/>
        <v>47815.460000000006</v>
      </c>
      <c r="Q166" s="83">
        <f t="shared" si="81"/>
        <v>44288.799999999996</v>
      </c>
      <c r="R166" s="83">
        <f>+R82+R133+R156+R164+R31</f>
        <v>577445.49</v>
      </c>
      <c r="S166" s="152">
        <f t="shared" ref="S166:AD166" si="82">+S82+S133+S156+S164+S31</f>
        <v>45062.729999999996</v>
      </c>
      <c r="T166" s="152">
        <f t="shared" si="82"/>
        <v>90710.300000000017</v>
      </c>
      <c r="U166" s="152">
        <f t="shared" si="82"/>
        <v>144953.72999999998</v>
      </c>
      <c r="V166" s="152">
        <f t="shared" si="82"/>
        <v>190794.45</v>
      </c>
      <c r="W166" s="152">
        <f t="shared" si="82"/>
        <v>232445.69</v>
      </c>
      <c r="X166" s="152">
        <f t="shared" si="82"/>
        <v>282525.95</v>
      </c>
      <c r="Y166" s="152">
        <f t="shared" si="82"/>
        <v>346300.82</v>
      </c>
      <c r="Z166" s="152">
        <f t="shared" si="82"/>
        <v>388369.27</v>
      </c>
      <c r="AA166" s="152">
        <f t="shared" si="82"/>
        <v>437513.22000000003</v>
      </c>
      <c r="AB166" s="152">
        <f t="shared" si="82"/>
        <v>485341.23000000004</v>
      </c>
      <c r="AC166" s="152">
        <f t="shared" si="82"/>
        <v>533156.69000000006</v>
      </c>
      <c r="AD166" s="152">
        <f t="shared" si="82"/>
        <v>577445.49</v>
      </c>
    </row>
    <row r="167" spans="1:30" x14ac:dyDescent="0.25">
      <c r="A167" s="106">
        <v>162</v>
      </c>
      <c r="B167" s="40" t="s">
        <v>118</v>
      </c>
      <c r="C167" s="41"/>
      <c r="D167" s="41"/>
      <c r="E167" s="99"/>
      <c r="F167" s="83">
        <f t="shared" ref="F167:Q167" si="83">+F22-F166</f>
        <v>53155.75</v>
      </c>
      <c r="G167" s="83">
        <f t="shared" si="83"/>
        <v>-10031.930000000008</v>
      </c>
      <c r="H167" s="83">
        <f t="shared" si="83"/>
        <v>-17291.04</v>
      </c>
      <c r="I167" s="83">
        <f t="shared" si="83"/>
        <v>-2506</v>
      </c>
      <c r="J167" s="83">
        <f t="shared" si="83"/>
        <v>-3245.330000000009</v>
      </c>
      <c r="K167" s="83">
        <f t="shared" si="83"/>
        <v>-18268.280000000002</v>
      </c>
      <c r="L167" s="83">
        <f t="shared" si="83"/>
        <v>32655.049999999996</v>
      </c>
      <c r="M167" s="83">
        <f t="shared" si="83"/>
        <v>-8180.3600000000006</v>
      </c>
      <c r="N167" s="83">
        <f t="shared" si="83"/>
        <v>-15595.409999999996</v>
      </c>
      <c r="O167" s="83">
        <f t="shared" si="83"/>
        <v>-8693.8500000000058</v>
      </c>
      <c r="P167" s="83">
        <f t="shared" si="83"/>
        <v>-1248.6600000000035</v>
      </c>
      <c r="Q167" s="83">
        <f t="shared" si="83"/>
        <v>-749.93999999999505</v>
      </c>
      <c r="R167" s="83">
        <f>+R22-R166</f>
        <v>0</v>
      </c>
      <c r="S167" s="152">
        <f t="shared" ref="S167:AD167" si="84">+S22-S166</f>
        <v>53155.75</v>
      </c>
      <c r="T167" s="152">
        <f t="shared" si="84"/>
        <v>43123.819999999978</v>
      </c>
      <c r="U167" s="152">
        <f t="shared" si="84"/>
        <v>25832.780000000028</v>
      </c>
      <c r="V167" s="152">
        <f t="shared" si="84"/>
        <v>23326.77999999997</v>
      </c>
      <c r="W167" s="152">
        <f t="shared" si="84"/>
        <v>20081.449999999983</v>
      </c>
      <c r="X167" s="152">
        <f t="shared" si="84"/>
        <v>1813.1699999999837</v>
      </c>
      <c r="Y167" s="152">
        <f t="shared" si="84"/>
        <v>34468.219999999972</v>
      </c>
      <c r="Z167" s="152">
        <f t="shared" si="84"/>
        <v>26287.859999999986</v>
      </c>
      <c r="AA167" s="152">
        <f t="shared" si="84"/>
        <v>10692.449999999953</v>
      </c>
      <c r="AB167" s="152">
        <f t="shared" si="84"/>
        <v>1998.5999999999767</v>
      </c>
      <c r="AC167" s="152">
        <f t="shared" si="84"/>
        <v>749.93999999994412</v>
      </c>
      <c r="AD167" s="152">
        <f t="shared" si="84"/>
        <v>0</v>
      </c>
    </row>
    <row r="168" spans="1:30" x14ac:dyDescent="0.25">
      <c r="AC168" s="35" t="s">
        <v>179</v>
      </c>
      <c r="AD168" s="35">
        <f>+R166-AD166</f>
        <v>0</v>
      </c>
    </row>
    <row r="169" spans="1:30" x14ac:dyDescent="0.25">
      <c r="AD169" s="35">
        <f>+R167-AD167</f>
        <v>0</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67"/>
  <sheetViews>
    <sheetView showGridLines="0" workbookViewId="0">
      <selection activeCell="B35" sqref="B35"/>
    </sheetView>
  </sheetViews>
  <sheetFormatPr defaultRowHeight="15" x14ac:dyDescent="0.25"/>
  <cols>
    <col min="1" max="1" width="4.28515625" style="5" customWidth="1"/>
    <col min="2" max="2" width="9.140625" style="1"/>
    <col min="3" max="3" width="24.7109375" style="1" customWidth="1"/>
    <col min="4" max="4" width="12" style="87" customWidth="1"/>
    <col min="5" max="5" width="14.140625" style="35" customWidth="1"/>
    <col min="6" max="6" width="15.28515625" style="35" customWidth="1"/>
    <col min="7" max="7" width="13.85546875" style="35" customWidth="1"/>
    <col min="8" max="8" width="12.140625" style="1" customWidth="1"/>
    <col min="9" max="9" width="4.5703125" style="1" customWidth="1"/>
    <col min="10" max="10" width="10" style="1" bestFit="1" customWidth="1"/>
    <col min="11" max="11" width="12.5703125" style="1" bestFit="1" customWidth="1"/>
    <col min="12" max="15" width="11.140625" style="1" customWidth="1"/>
    <col min="16" max="16" width="9.140625" style="1"/>
    <col min="17" max="18" width="11.85546875" style="1" customWidth="1"/>
    <col min="19" max="16384" width="9.140625" style="1"/>
  </cols>
  <sheetData>
    <row r="1" spans="1:18" ht="41.25" customHeight="1" x14ac:dyDescent="0.25">
      <c r="A1" s="227" t="s">
        <v>123</v>
      </c>
      <c r="B1" s="227"/>
      <c r="C1" s="227"/>
      <c r="D1" s="227"/>
      <c r="E1" s="227"/>
      <c r="F1" s="227"/>
      <c r="G1" s="227"/>
      <c r="H1" s="227"/>
      <c r="I1" s="227"/>
    </row>
    <row r="2" spans="1:18" ht="8.25" customHeight="1" thickBot="1" x14ac:dyDescent="0.3">
      <c r="A2" s="228"/>
      <c r="B2" s="228"/>
      <c r="C2" s="228"/>
      <c r="D2" s="228"/>
      <c r="E2" s="228"/>
      <c r="F2" s="228"/>
      <c r="G2" s="228"/>
      <c r="H2" s="228"/>
      <c r="I2" s="228"/>
    </row>
    <row r="3" spans="1:18" ht="23.25" customHeight="1" thickBot="1" x14ac:dyDescent="0.3">
      <c r="E3" s="248" t="s">
        <v>13</v>
      </c>
      <c r="F3" s="249"/>
      <c r="G3" s="250"/>
      <c r="K3" s="246" t="s">
        <v>162</v>
      </c>
      <c r="L3" s="247"/>
      <c r="N3" s="246" t="s">
        <v>122</v>
      </c>
      <c r="O3" s="247"/>
      <c r="Q3" s="246" t="s">
        <v>160</v>
      </c>
      <c r="R3" s="247"/>
    </row>
    <row r="4" spans="1:18" s="5" customFormat="1" ht="53.25" customHeight="1" x14ac:dyDescent="0.25">
      <c r="D4" s="88" t="s">
        <v>167</v>
      </c>
      <c r="E4" s="69" t="s">
        <v>166</v>
      </c>
      <c r="F4" s="69"/>
      <c r="G4" s="69" t="s">
        <v>165</v>
      </c>
      <c r="K4" s="2" t="s">
        <v>121</v>
      </c>
      <c r="L4" s="2" t="s">
        <v>161</v>
      </c>
      <c r="M4" s="67"/>
      <c r="N4" s="68" t="s">
        <v>121</v>
      </c>
      <c r="O4" s="68" t="s">
        <v>161</v>
      </c>
      <c r="Q4" s="65" t="s">
        <v>164</v>
      </c>
      <c r="R4" s="65" t="s">
        <v>163</v>
      </c>
    </row>
    <row r="5" spans="1:18" s="5" customFormat="1" ht="18.75" x14ac:dyDescent="0.25">
      <c r="A5" s="11" t="s">
        <v>0</v>
      </c>
      <c r="D5" s="89"/>
      <c r="E5" s="70"/>
      <c r="F5" s="70"/>
      <c r="G5" s="70"/>
      <c r="K5" s="67"/>
      <c r="L5" s="67"/>
      <c r="M5" s="67"/>
      <c r="N5" s="67"/>
      <c r="O5" s="67"/>
      <c r="Q5" s="67"/>
      <c r="R5" s="67"/>
    </row>
    <row r="6" spans="1:18" x14ac:dyDescent="0.25">
      <c r="A6" s="5" t="s">
        <v>1</v>
      </c>
    </row>
    <row r="7" spans="1:18" x14ac:dyDescent="0.25">
      <c r="B7" s="1" t="s">
        <v>1</v>
      </c>
      <c r="E7" s="71">
        <v>97671.18</v>
      </c>
      <c r="F7" s="71"/>
      <c r="G7" s="71">
        <f>557337-6703-670-67-7-1-76-8</f>
        <v>549805</v>
      </c>
      <c r="K7" s="6">
        <v>547524.43000000005</v>
      </c>
      <c r="L7" s="6">
        <v>501660.93</v>
      </c>
      <c r="M7" s="6"/>
      <c r="N7" s="6">
        <v>556300</v>
      </c>
      <c r="O7" s="6">
        <v>520478.51</v>
      </c>
      <c r="Q7" s="6">
        <v>542338</v>
      </c>
      <c r="R7" s="6">
        <v>526000</v>
      </c>
    </row>
    <row r="8" spans="1:18" x14ac:dyDescent="0.25">
      <c r="B8" s="1" t="s">
        <v>2</v>
      </c>
      <c r="E8" s="71">
        <v>0</v>
      </c>
      <c r="F8" s="71"/>
      <c r="G8" s="71">
        <v>0</v>
      </c>
      <c r="K8" s="6">
        <v>196</v>
      </c>
      <c r="L8" s="6">
        <v>0</v>
      </c>
      <c r="M8" s="6"/>
      <c r="N8" s="6">
        <v>0</v>
      </c>
      <c r="O8" s="6">
        <v>0</v>
      </c>
      <c r="Q8" s="6">
        <v>1241</v>
      </c>
      <c r="R8" s="6">
        <v>0</v>
      </c>
    </row>
    <row r="9" spans="1:18" x14ac:dyDescent="0.25">
      <c r="B9" s="1" t="s">
        <v>3</v>
      </c>
      <c r="E9" s="71">
        <v>0</v>
      </c>
      <c r="F9" s="71"/>
      <c r="G9" s="71">
        <v>4000</v>
      </c>
      <c r="K9" s="6">
        <v>4040.65</v>
      </c>
      <c r="L9" s="6">
        <v>4040.65</v>
      </c>
      <c r="M9" s="6"/>
      <c r="N9" s="6">
        <v>4000</v>
      </c>
      <c r="O9" s="6">
        <v>4000</v>
      </c>
      <c r="Q9" s="6">
        <v>4013</v>
      </c>
      <c r="R9" s="6">
        <v>4400</v>
      </c>
    </row>
    <row r="10" spans="1:18" x14ac:dyDescent="0.25">
      <c r="B10" s="1" t="s">
        <v>4</v>
      </c>
      <c r="E10" s="71">
        <v>0</v>
      </c>
      <c r="F10" s="71"/>
      <c r="G10" s="71">
        <v>1000</v>
      </c>
      <c r="K10" s="6">
        <v>833</v>
      </c>
      <c r="L10" s="6">
        <v>793</v>
      </c>
      <c r="M10" s="6"/>
      <c r="N10" s="6">
        <v>1000</v>
      </c>
      <c r="O10" s="6">
        <v>1000</v>
      </c>
      <c r="Q10" s="6">
        <v>956</v>
      </c>
      <c r="R10" s="6">
        <v>1000</v>
      </c>
    </row>
    <row r="11" spans="1:18" x14ac:dyDescent="0.25">
      <c r="B11" s="1" t="s">
        <v>5</v>
      </c>
      <c r="E11" s="71">
        <v>0</v>
      </c>
      <c r="F11" s="71"/>
      <c r="G11" s="71">
        <v>5000</v>
      </c>
      <c r="K11" s="6">
        <v>3904</v>
      </c>
      <c r="L11" s="6">
        <v>0</v>
      </c>
      <c r="M11" s="6"/>
      <c r="N11" s="6">
        <v>5000</v>
      </c>
      <c r="O11" s="6">
        <v>0</v>
      </c>
      <c r="Q11" s="6">
        <v>6111</v>
      </c>
      <c r="R11" s="6">
        <v>5000</v>
      </c>
    </row>
    <row r="12" spans="1:18" x14ac:dyDescent="0.25">
      <c r="B12" s="1" t="s">
        <v>6</v>
      </c>
      <c r="E12" s="71">
        <v>0</v>
      </c>
      <c r="F12" s="71"/>
      <c r="G12" s="71">
        <v>2700</v>
      </c>
      <c r="K12" s="6">
        <v>2409.36</v>
      </c>
      <c r="L12" s="6">
        <v>2409.36</v>
      </c>
      <c r="M12" s="6"/>
      <c r="N12" s="6">
        <v>2700</v>
      </c>
      <c r="O12" s="6">
        <v>2700</v>
      </c>
      <c r="Q12" s="6">
        <v>2716</v>
      </c>
      <c r="R12" s="6">
        <v>3000</v>
      </c>
    </row>
    <row r="13" spans="1:18" x14ac:dyDescent="0.25">
      <c r="A13" s="15" t="s">
        <v>7</v>
      </c>
      <c r="B13" s="15"/>
      <c r="C13" s="15"/>
      <c r="D13" s="90"/>
      <c r="E13" s="72">
        <f t="shared" ref="E13:F13" si="0">SUM(E7:E12)</f>
        <v>97671.18</v>
      </c>
      <c r="F13" s="72">
        <f t="shared" si="0"/>
        <v>0</v>
      </c>
      <c r="G13" s="72">
        <f>SUM(G7:G12)</f>
        <v>562505</v>
      </c>
      <c r="K13" s="15">
        <f>SUM(K7:K12)</f>
        <v>558907.44000000006</v>
      </c>
      <c r="L13" s="15">
        <f>SUM(L7:L12)</f>
        <v>508903.94</v>
      </c>
      <c r="M13" s="15"/>
      <c r="N13" s="15">
        <f>SUM(N7:N12)</f>
        <v>569000</v>
      </c>
      <c r="O13" s="15">
        <f>SUM(O7:O12)</f>
        <v>528178.51</v>
      </c>
      <c r="Q13" s="15">
        <f>SUM(Q7:Q12)</f>
        <v>557375</v>
      </c>
      <c r="R13" s="15">
        <f>SUM(R7:R12)</f>
        <v>539400</v>
      </c>
    </row>
    <row r="14" spans="1:18" ht="5.25" customHeight="1" x14ac:dyDescent="0.25"/>
    <row r="15" spans="1:18" x14ac:dyDescent="0.25">
      <c r="A15" s="5" t="s">
        <v>8</v>
      </c>
    </row>
    <row r="16" spans="1:18" x14ac:dyDescent="0.25">
      <c r="B16" s="1" t="s">
        <v>9</v>
      </c>
      <c r="D16" s="100">
        <v>12</v>
      </c>
      <c r="E16" s="79">
        <f>ROUND(+$G16/$D16,2)</f>
        <v>833.33</v>
      </c>
      <c r="F16" s="71"/>
      <c r="G16" s="71">
        <v>10000</v>
      </c>
      <c r="K16" s="6">
        <v>10152.219999999999</v>
      </c>
      <c r="L16" s="6">
        <v>8808.06</v>
      </c>
      <c r="M16" s="6"/>
      <c r="N16" s="6">
        <v>10000</v>
      </c>
      <c r="O16" s="6">
        <v>9166.6299999999992</v>
      </c>
      <c r="Q16" s="6">
        <v>10734</v>
      </c>
      <c r="R16" s="6">
        <v>10000</v>
      </c>
    </row>
    <row r="17" spans="1:18" x14ac:dyDescent="0.25">
      <c r="B17" s="1" t="s">
        <v>8</v>
      </c>
      <c r="D17" s="101">
        <f>+D$16</f>
        <v>12</v>
      </c>
      <c r="E17" s="79">
        <f t="shared" ref="E17:E20" si="1">ROUND(+$G17/$D17,2)</f>
        <v>0</v>
      </c>
      <c r="F17" s="71"/>
      <c r="G17" s="71">
        <v>0</v>
      </c>
      <c r="K17" s="6">
        <v>7668.64</v>
      </c>
      <c r="L17" s="6">
        <v>14335.91</v>
      </c>
      <c r="M17" s="6"/>
      <c r="N17" s="6">
        <v>0</v>
      </c>
      <c r="O17" s="6">
        <v>0</v>
      </c>
      <c r="Q17" s="6">
        <v>2135</v>
      </c>
      <c r="R17" s="6">
        <v>500</v>
      </c>
    </row>
    <row r="18" spans="1:18" x14ac:dyDescent="0.25">
      <c r="B18" s="1" t="s">
        <v>10</v>
      </c>
      <c r="D18" s="101">
        <f t="shared" ref="D18:D20" si="2">+D$16</f>
        <v>12</v>
      </c>
      <c r="E18" s="79">
        <f t="shared" si="1"/>
        <v>0</v>
      </c>
      <c r="F18" s="71"/>
      <c r="G18" s="71">
        <v>0</v>
      </c>
      <c r="K18" s="6">
        <v>699</v>
      </c>
      <c r="L18" s="6">
        <v>699</v>
      </c>
      <c r="M18" s="6"/>
      <c r="N18" s="6">
        <v>0</v>
      </c>
      <c r="O18" s="6">
        <v>0</v>
      </c>
      <c r="Q18" s="6"/>
      <c r="R18" s="6">
        <v>0</v>
      </c>
    </row>
    <row r="19" spans="1:18" x14ac:dyDescent="0.25">
      <c r="B19" s="1" t="s">
        <v>12</v>
      </c>
      <c r="D19" s="101">
        <f t="shared" si="2"/>
        <v>12</v>
      </c>
      <c r="E19" s="79">
        <f t="shared" si="1"/>
        <v>0</v>
      </c>
      <c r="F19" s="71"/>
      <c r="G19" s="71"/>
      <c r="K19" s="6">
        <v>18.190000000000001</v>
      </c>
      <c r="L19" s="6">
        <v>16.45</v>
      </c>
      <c r="M19" s="6"/>
      <c r="N19" s="6"/>
      <c r="O19" s="6">
        <v>0</v>
      </c>
      <c r="Q19" s="6">
        <v>8</v>
      </c>
      <c r="R19" s="6">
        <v>0</v>
      </c>
    </row>
    <row r="20" spans="1:18" x14ac:dyDescent="0.25">
      <c r="B20" s="1" t="s">
        <v>142</v>
      </c>
      <c r="D20" s="101">
        <f t="shared" si="2"/>
        <v>12</v>
      </c>
      <c r="E20" s="79">
        <f t="shared" si="1"/>
        <v>0</v>
      </c>
      <c r="F20" s="71"/>
      <c r="G20" s="71">
        <v>0</v>
      </c>
      <c r="K20" s="6">
        <v>0</v>
      </c>
      <c r="L20" s="6">
        <v>802.52</v>
      </c>
      <c r="M20" s="6"/>
      <c r="N20" s="6">
        <v>0</v>
      </c>
      <c r="O20" s="6">
        <v>0</v>
      </c>
      <c r="Q20" s="6">
        <v>0</v>
      </c>
      <c r="R20" s="6">
        <v>0</v>
      </c>
    </row>
    <row r="21" spans="1:18" x14ac:dyDescent="0.25">
      <c r="A21" s="15" t="s">
        <v>11</v>
      </c>
      <c r="B21" s="15"/>
      <c r="C21" s="15"/>
      <c r="D21" s="90"/>
      <c r="E21" s="72">
        <f t="shared" ref="E21:F21" si="3">SUM(E16:E20)</f>
        <v>833.33</v>
      </c>
      <c r="F21" s="72">
        <f t="shared" si="3"/>
        <v>0</v>
      </c>
      <c r="G21" s="72">
        <f>SUM(G16:G20)</f>
        <v>10000</v>
      </c>
      <c r="K21" s="15">
        <f t="shared" ref="K21:L21" si="4">SUM(K16:K20)</f>
        <v>18538.05</v>
      </c>
      <c r="L21" s="15">
        <f t="shared" si="4"/>
        <v>24661.940000000002</v>
      </c>
      <c r="M21" s="15"/>
      <c r="N21" s="15">
        <f>SUM(N16:N20)</f>
        <v>10000</v>
      </c>
      <c r="O21" s="15">
        <f>SUM(O16:O20)</f>
        <v>9166.6299999999992</v>
      </c>
      <c r="Q21" s="15">
        <f t="shared" ref="Q21:R21" si="5">SUM(Q16:Q20)</f>
        <v>12877</v>
      </c>
      <c r="R21" s="15">
        <f t="shared" si="5"/>
        <v>10500</v>
      </c>
    </row>
    <row r="22" spans="1:18" x14ac:dyDescent="0.25">
      <c r="A22" s="15" t="s">
        <v>14</v>
      </c>
      <c r="B22" s="15"/>
      <c r="C22" s="15"/>
      <c r="D22" s="90"/>
      <c r="E22" s="72">
        <f t="shared" ref="E22:F22" si="6">+E13+E21</f>
        <v>98504.51</v>
      </c>
      <c r="F22" s="72">
        <f t="shared" si="6"/>
        <v>0</v>
      </c>
      <c r="G22" s="72">
        <f>+G13+G21</f>
        <v>572505</v>
      </c>
      <c r="K22" s="15">
        <f t="shared" ref="K22:L22" si="7">+K13+K21</f>
        <v>577445.49000000011</v>
      </c>
      <c r="L22" s="15">
        <f t="shared" si="7"/>
        <v>533565.88</v>
      </c>
      <c r="M22" s="15"/>
      <c r="N22" s="15">
        <f>+N13+N21</f>
        <v>579000</v>
      </c>
      <c r="O22" s="15">
        <f>+O13+O21</f>
        <v>537345.14</v>
      </c>
      <c r="Q22" s="15">
        <f t="shared" ref="Q22:R22" si="8">+Q13+Q21</f>
        <v>570252</v>
      </c>
      <c r="R22" s="15">
        <f t="shared" si="8"/>
        <v>549900</v>
      </c>
    </row>
    <row r="23" spans="1:18" ht="6" customHeight="1" x14ac:dyDescent="0.25"/>
    <row r="24" spans="1:18" ht="18.75" x14ac:dyDescent="0.25">
      <c r="A24" s="11" t="s">
        <v>15</v>
      </c>
    </row>
    <row r="25" spans="1:18" ht="18.75" x14ac:dyDescent="0.25">
      <c r="A25" s="11" t="s">
        <v>137</v>
      </c>
    </row>
    <row r="26" spans="1:18" x14ac:dyDescent="0.25">
      <c r="B26" s="1" t="s">
        <v>17</v>
      </c>
      <c r="F26" s="35">
        <f t="shared" ref="F26" si="9">+F22</f>
        <v>0</v>
      </c>
      <c r="G26" s="35">
        <f>+G22</f>
        <v>572505</v>
      </c>
    </row>
    <row r="27" spans="1:18" x14ac:dyDescent="0.25">
      <c r="B27" s="1" t="s">
        <v>16</v>
      </c>
      <c r="E27" s="71"/>
      <c r="F27" s="71"/>
      <c r="G27" s="71">
        <v>-54900</v>
      </c>
      <c r="N27" s="6"/>
    </row>
    <row r="28" spans="1:18" x14ac:dyDescent="0.25">
      <c r="B28" s="1" t="s">
        <v>18</v>
      </c>
      <c r="E28" s="71"/>
      <c r="F28" s="71"/>
      <c r="G28" s="71">
        <v>-5000</v>
      </c>
      <c r="N28" s="6"/>
    </row>
    <row r="29" spans="1:18" x14ac:dyDescent="0.25">
      <c r="B29" s="1" t="s">
        <v>19</v>
      </c>
      <c r="E29" s="71"/>
      <c r="F29" s="71"/>
      <c r="G29" s="71">
        <v>-1400</v>
      </c>
      <c r="N29" s="6"/>
    </row>
    <row r="30" spans="1:18" x14ac:dyDescent="0.25">
      <c r="B30" s="1" t="s">
        <v>17</v>
      </c>
      <c r="F30" s="35">
        <f t="shared" ref="F30" si="10">SUM(F26:F29)</f>
        <v>0</v>
      </c>
      <c r="G30" s="35">
        <f>SUM(G26:G29)</f>
        <v>511205</v>
      </c>
    </row>
    <row r="31" spans="1:18" s="5" customFormat="1" x14ac:dyDescent="0.25">
      <c r="A31" s="18"/>
      <c r="B31" s="19" t="s">
        <v>138</v>
      </c>
      <c r="C31" s="18"/>
      <c r="D31" s="91"/>
      <c r="E31" s="84">
        <v>2848.41</v>
      </c>
      <c r="F31" s="73">
        <f t="shared" ref="F31" si="11">ROUND(+F30*0.1,0)</f>
        <v>0</v>
      </c>
      <c r="G31" s="73">
        <f>ROUND(+G30*0.1,0)</f>
        <v>51121</v>
      </c>
      <c r="I31" s="18"/>
      <c r="K31" s="20">
        <v>43119.13</v>
      </c>
      <c r="L31" s="20">
        <v>43119.13</v>
      </c>
      <c r="M31" s="20"/>
      <c r="N31" s="20">
        <v>51750</v>
      </c>
      <c r="O31" s="20">
        <v>44578.26</v>
      </c>
      <c r="Q31" s="20">
        <v>51179</v>
      </c>
      <c r="R31" s="20">
        <v>49090</v>
      </c>
    </row>
    <row r="32" spans="1:18" s="5" customFormat="1" ht="6.75" customHeight="1" x14ac:dyDescent="0.25">
      <c r="A32" s="22"/>
      <c r="B32" s="23"/>
      <c r="C32" s="22"/>
      <c r="D32" s="92"/>
      <c r="E32" s="74"/>
      <c r="F32" s="74"/>
      <c r="G32" s="74"/>
      <c r="I32" s="22"/>
      <c r="K32" s="24"/>
      <c r="L32" s="24"/>
      <c r="M32" s="24"/>
      <c r="N32" s="24"/>
      <c r="O32" s="24"/>
      <c r="Q32" s="24"/>
      <c r="R32" s="24"/>
    </row>
    <row r="33" spans="1:18" s="5" customFormat="1" ht="18.75" x14ac:dyDescent="0.25">
      <c r="A33" s="26" t="s">
        <v>91</v>
      </c>
      <c r="B33" s="23"/>
      <c r="C33" s="22"/>
      <c r="D33" s="92"/>
      <c r="E33" s="74"/>
      <c r="F33" s="74"/>
      <c r="G33" s="74"/>
      <c r="I33" s="22"/>
      <c r="K33" s="24"/>
      <c r="L33" s="24"/>
      <c r="M33" s="24"/>
      <c r="N33" s="24"/>
      <c r="O33" s="24"/>
      <c r="Q33" s="24"/>
      <c r="R33" s="24"/>
    </row>
    <row r="34" spans="1:18" x14ac:dyDescent="0.25">
      <c r="A34" s="5" t="s">
        <v>20</v>
      </c>
    </row>
    <row r="35" spans="1:18" x14ac:dyDescent="0.25">
      <c r="B35" s="1" t="s">
        <v>119</v>
      </c>
      <c r="D35" s="101">
        <f t="shared" ref="D35:D36" si="12">+D$16</f>
        <v>12</v>
      </c>
      <c r="E35" s="79">
        <f t="shared" ref="E35:E36" si="13">ROUND(+$G35/$D35,2)</f>
        <v>333.33</v>
      </c>
      <c r="F35" s="71"/>
      <c r="G35" s="71">
        <v>4000</v>
      </c>
      <c r="K35" s="6">
        <v>4611.53</v>
      </c>
      <c r="L35" s="6">
        <v>4281.58</v>
      </c>
      <c r="M35" s="6"/>
      <c r="N35" s="6">
        <v>4000</v>
      </c>
      <c r="O35" s="6">
        <v>3666.63</v>
      </c>
      <c r="Q35" s="6">
        <v>4256</v>
      </c>
      <c r="R35" s="6">
        <v>4000</v>
      </c>
    </row>
    <row r="36" spans="1:18" x14ac:dyDescent="0.25">
      <c r="B36" s="1" t="s">
        <v>21</v>
      </c>
      <c r="D36" s="101">
        <f t="shared" si="12"/>
        <v>12</v>
      </c>
      <c r="E36" s="79">
        <f t="shared" si="13"/>
        <v>62.5</v>
      </c>
      <c r="F36" s="71"/>
      <c r="G36" s="71">
        <v>750</v>
      </c>
      <c r="K36" s="6">
        <v>1387.7</v>
      </c>
      <c r="L36" s="6">
        <v>1387.7</v>
      </c>
      <c r="M36" s="6"/>
      <c r="N36" s="6">
        <v>1000</v>
      </c>
      <c r="O36" s="6">
        <v>916.63</v>
      </c>
      <c r="Q36" s="6">
        <v>2277</v>
      </c>
      <c r="R36" s="6">
        <v>1000</v>
      </c>
    </row>
    <row r="37" spans="1:18" x14ac:dyDescent="0.25">
      <c r="B37" s="1" t="s">
        <v>22</v>
      </c>
      <c r="D37" s="100"/>
      <c r="E37" s="71">
        <v>0</v>
      </c>
      <c r="F37" s="71"/>
      <c r="G37" s="71">
        <v>750</v>
      </c>
      <c r="K37" s="6">
        <v>721.94</v>
      </c>
      <c r="L37" s="6">
        <v>721.94</v>
      </c>
      <c r="M37" s="6"/>
      <c r="N37" s="6">
        <v>1500</v>
      </c>
      <c r="O37" s="6">
        <v>1375</v>
      </c>
      <c r="Q37" s="6">
        <v>1278</v>
      </c>
      <c r="R37" s="6">
        <v>1000</v>
      </c>
    </row>
    <row r="38" spans="1:18" x14ac:dyDescent="0.25">
      <c r="B38" s="1" t="s">
        <v>23</v>
      </c>
      <c r="D38" s="101">
        <f t="shared" ref="D38" si="14">+D$16</f>
        <v>12</v>
      </c>
      <c r="E38" s="79">
        <f>ROUND(+$G38/$D38,2)</f>
        <v>41.67</v>
      </c>
      <c r="F38" s="71"/>
      <c r="G38" s="71">
        <v>500</v>
      </c>
      <c r="K38" s="6">
        <v>665.4</v>
      </c>
      <c r="L38" s="6">
        <v>0</v>
      </c>
      <c r="M38" s="6"/>
      <c r="N38" s="6">
        <v>700</v>
      </c>
      <c r="O38" s="6">
        <v>641.63</v>
      </c>
      <c r="Q38" s="6">
        <v>773</v>
      </c>
      <c r="R38" s="6">
        <v>700</v>
      </c>
    </row>
    <row r="39" spans="1:18" x14ac:dyDescent="0.25">
      <c r="B39" s="1" t="s">
        <v>24</v>
      </c>
      <c r="D39" s="100"/>
      <c r="E39" s="71">
        <v>0</v>
      </c>
      <c r="F39" s="71"/>
      <c r="G39" s="71">
        <v>200</v>
      </c>
      <c r="K39" s="6">
        <v>142.77000000000001</v>
      </c>
      <c r="L39" s="6">
        <v>142.77000000000001</v>
      </c>
      <c r="M39" s="6"/>
      <c r="N39" s="6">
        <v>250</v>
      </c>
      <c r="O39" s="6">
        <v>250</v>
      </c>
      <c r="Q39" s="6">
        <v>259</v>
      </c>
      <c r="R39" s="6">
        <v>150</v>
      </c>
    </row>
    <row r="40" spans="1:18" x14ac:dyDescent="0.25">
      <c r="B40" s="1" t="s">
        <v>124</v>
      </c>
      <c r="D40" s="101">
        <f t="shared" ref="D40" si="15">+D$16</f>
        <v>12</v>
      </c>
      <c r="E40" s="79">
        <f>ROUND(+$G40/$D40,2)</f>
        <v>83.33</v>
      </c>
      <c r="F40" s="71"/>
      <c r="G40" s="71">
        <v>1000</v>
      </c>
      <c r="K40" s="6">
        <v>866.87</v>
      </c>
      <c r="L40" s="6">
        <v>866.87</v>
      </c>
      <c r="M40" s="6"/>
      <c r="N40" s="6">
        <v>1000</v>
      </c>
      <c r="O40" s="6">
        <v>916.63</v>
      </c>
      <c r="Q40" s="6">
        <v>459</v>
      </c>
      <c r="R40" s="6">
        <v>1000</v>
      </c>
    </row>
    <row r="41" spans="1:18" s="5" customFormat="1" x14ac:dyDescent="0.25">
      <c r="A41" s="51" t="s">
        <v>25</v>
      </c>
      <c r="B41" s="51"/>
      <c r="C41" s="51"/>
      <c r="D41" s="93"/>
      <c r="E41" s="75">
        <f t="shared" ref="E41:F41" si="16">SUM(E35:E40)</f>
        <v>520.83000000000004</v>
      </c>
      <c r="F41" s="75">
        <f t="shared" si="16"/>
        <v>0</v>
      </c>
      <c r="G41" s="75">
        <f>SUM(G35:G40)</f>
        <v>7200</v>
      </c>
      <c r="K41" s="51">
        <f t="shared" ref="K41:L41" si="17">SUM(K35:K40)</f>
        <v>8396.2100000000009</v>
      </c>
      <c r="L41" s="51">
        <f t="shared" si="17"/>
        <v>7400.86</v>
      </c>
      <c r="M41" s="51"/>
      <c r="N41" s="51">
        <f>SUM(N35:N40)</f>
        <v>8450</v>
      </c>
      <c r="O41" s="51">
        <f>SUM(O35:O40)</f>
        <v>7766.52</v>
      </c>
      <c r="Q41" s="51">
        <f t="shared" ref="Q41:R41" si="18">SUM(Q35:Q40)</f>
        <v>9302</v>
      </c>
      <c r="R41" s="51">
        <f t="shared" si="18"/>
        <v>7850</v>
      </c>
    </row>
    <row r="42" spans="1:18" ht="6" customHeight="1" x14ac:dyDescent="0.25"/>
    <row r="43" spans="1:18" x14ac:dyDescent="0.25">
      <c r="A43" s="51" t="s">
        <v>26</v>
      </c>
      <c r="B43" s="51"/>
      <c r="C43" s="51"/>
      <c r="D43" s="102">
        <f t="shared" ref="D43" si="19">+D$16</f>
        <v>12</v>
      </c>
      <c r="E43" s="85">
        <f>ROUND(+$G43/$D43,2)</f>
        <v>91.67</v>
      </c>
      <c r="F43" s="76"/>
      <c r="G43" s="76">
        <v>1100</v>
      </c>
      <c r="K43" s="29">
        <v>1450.9</v>
      </c>
      <c r="L43" s="29">
        <v>1375.37</v>
      </c>
      <c r="M43" s="29"/>
      <c r="N43" s="29">
        <v>2200</v>
      </c>
      <c r="O43" s="29">
        <v>2016.63</v>
      </c>
      <c r="Q43" s="29">
        <v>0</v>
      </c>
      <c r="R43" s="29">
        <v>0</v>
      </c>
    </row>
    <row r="44" spans="1:18" ht="7.5" customHeight="1" x14ac:dyDescent="0.25"/>
    <row r="45" spans="1:18" x14ac:dyDescent="0.25">
      <c r="A45" s="5" t="s">
        <v>27</v>
      </c>
    </row>
    <row r="46" spans="1:18" x14ac:dyDescent="0.25">
      <c r="B46" s="1" t="s">
        <v>29</v>
      </c>
      <c r="D46" s="101">
        <f t="shared" ref="D46:D49" si="20">+D$16</f>
        <v>12</v>
      </c>
      <c r="E46" s="79">
        <f t="shared" ref="E46:E49" si="21">ROUND(+$G46/$D46,2)</f>
        <v>333.33</v>
      </c>
      <c r="F46" s="71"/>
      <c r="G46" s="71">
        <v>4000</v>
      </c>
      <c r="K46" s="6">
        <v>6778.83</v>
      </c>
      <c r="L46" s="6">
        <v>6434.99</v>
      </c>
      <c r="M46" s="6"/>
      <c r="N46" s="6">
        <v>6000</v>
      </c>
      <c r="O46" s="6">
        <v>5500</v>
      </c>
      <c r="Q46" s="6">
        <v>7075</v>
      </c>
      <c r="R46" s="6">
        <v>5000</v>
      </c>
    </row>
    <row r="47" spans="1:18" x14ac:dyDescent="0.25">
      <c r="B47" s="1" t="s">
        <v>30</v>
      </c>
      <c r="D47" s="101">
        <f t="shared" si="20"/>
        <v>12</v>
      </c>
      <c r="E47" s="79">
        <f t="shared" si="21"/>
        <v>216.67</v>
      </c>
      <c r="F47" s="71"/>
      <c r="G47" s="71">
        <f>ROUND(52*50,0)</f>
        <v>2600</v>
      </c>
      <c r="K47" s="6">
        <v>0</v>
      </c>
      <c r="L47" s="6">
        <v>0</v>
      </c>
      <c r="M47" s="6"/>
      <c r="N47" s="6">
        <v>0</v>
      </c>
      <c r="O47" s="6">
        <v>0</v>
      </c>
      <c r="Q47" s="6">
        <v>0</v>
      </c>
      <c r="R47" s="6">
        <v>0</v>
      </c>
    </row>
    <row r="48" spans="1:18" x14ac:dyDescent="0.25">
      <c r="B48" s="1" t="s">
        <v>31</v>
      </c>
      <c r="D48" s="101">
        <f t="shared" si="20"/>
        <v>12</v>
      </c>
      <c r="E48" s="79">
        <f t="shared" si="21"/>
        <v>100</v>
      </c>
      <c r="F48" s="71"/>
      <c r="G48" s="71">
        <v>1200</v>
      </c>
      <c r="K48" s="6">
        <v>0</v>
      </c>
      <c r="L48" s="6">
        <v>0</v>
      </c>
      <c r="M48" s="6"/>
      <c r="N48" s="6">
        <v>0</v>
      </c>
      <c r="O48" s="6">
        <v>0</v>
      </c>
      <c r="Q48" s="6">
        <v>0</v>
      </c>
      <c r="R48" s="6">
        <v>0</v>
      </c>
    </row>
    <row r="49" spans="1:18" x14ac:dyDescent="0.25">
      <c r="B49" s="1" t="s">
        <v>32</v>
      </c>
      <c r="D49" s="101">
        <f t="shared" si="20"/>
        <v>12</v>
      </c>
      <c r="E49" s="79">
        <f t="shared" si="21"/>
        <v>25</v>
      </c>
      <c r="F49" s="71"/>
      <c r="G49" s="71">
        <v>300</v>
      </c>
      <c r="K49" s="6">
        <v>992</v>
      </c>
      <c r="L49" s="6">
        <v>1048</v>
      </c>
      <c r="M49" s="6"/>
      <c r="N49" s="6">
        <v>700</v>
      </c>
      <c r="O49" s="6">
        <v>641.63</v>
      </c>
      <c r="Q49" s="6">
        <v>1051</v>
      </c>
      <c r="R49" s="6">
        <v>300</v>
      </c>
    </row>
    <row r="50" spans="1:18" s="5" customFormat="1" x14ac:dyDescent="0.25">
      <c r="A50" s="51" t="s">
        <v>28</v>
      </c>
      <c r="B50" s="51"/>
      <c r="C50" s="51"/>
      <c r="D50" s="93"/>
      <c r="E50" s="75">
        <f t="shared" ref="E50:F50" si="22">SUM(E46:E49)</f>
        <v>675</v>
      </c>
      <c r="F50" s="75">
        <f t="shared" si="22"/>
        <v>0</v>
      </c>
      <c r="G50" s="75">
        <f>SUM(G46:G49)</f>
        <v>8100</v>
      </c>
      <c r="K50" s="51">
        <f>SUM(K46:K49)</f>
        <v>7770.83</v>
      </c>
      <c r="L50" s="51">
        <f>SUM(L46:L49)</f>
        <v>7482.99</v>
      </c>
      <c r="M50" s="51"/>
      <c r="N50" s="51">
        <f>SUM(N46:N49)</f>
        <v>6700</v>
      </c>
      <c r="O50" s="51">
        <f>SUM(O46:O49)</f>
        <v>6141.63</v>
      </c>
      <c r="Q50" s="51">
        <f>SUM(Q46:Q49)</f>
        <v>8126</v>
      </c>
      <c r="R50" s="51">
        <f>SUM(R46:R49)</f>
        <v>5300</v>
      </c>
    </row>
    <row r="51" spans="1:18" ht="6.75" customHeight="1" x14ac:dyDescent="0.25"/>
    <row r="52" spans="1:18" x14ac:dyDescent="0.25">
      <c r="A52" s="5" t="s">
        <v>33</v>
      </c>
    </row>
    <row r="53" spans="1:18" x14ac:dyDescent="0.25">
      <c r="B53" s="1" t="s">
        <v>34</v>
      </c>
      <c r="D53" s="101">
        <f t="shared" ref="D53:D55" si="23">+D$16</f>
        <v>12</v>
      </c>
      <c r="E53" s="79">
        <f t="shared" ref="E53:E55" si="24">ROUND(+$G53/$D53,2)</f>
        <v>416.67</v>
      </c>
      <c r="F53" s="71"/>
      <c r="G53" s="71">
        <v>5000</v>
      </c>
      <c r="K53" s="6">
        <v>6714.23</v>
      </c>
      <c r="L53" s="6">
        <v>5453.9</v>
      </c>
      <c r="M53" s="6"/>
      <c r="N53" s="6">
        <v>6000</v>
      </c>
      <c r="O53" s="6">
        <v>5500</v>
      </c>
      <c r="Q53" s="6">
        <v>5311</v>
      </c>
      <c r="R53" s="6">
        <v>5000</v>
      </c>
    </row>
    <row r="54" spans="1:18" x14ac:dyDescent="0.25">
      <c r="B54" s="1" t="s">
        <v>143</v>
      </c>
      <c r="D54" s="101">
        <f t="shared" si="23"/>
        <v>12</v>
      </c>
      <c r="E54" s="79">
        <f t="shared" si="24"/>
        <v>166.67</v>
      </c>
      <c r="F54" s="71"/>
      <c r="G54" s="71">
        <v>2000</v>
      </c>
      <c r="K54" s="6">
        <v>0</v>
      </c>
      <c r="L54" s="6">
        <v>0</v>
      </c>
      <c r="M54" s="6"/>
      <c r="N54" s="6">
        <v>0</v>
      </c>
      <c r="O54" s="6">
        <v>0</v>
      </c>
      <c r="Q54" s="6">
        <v>0</v>
      </c>
      <c r="R54" s="6">
        <v>0</v>
      </c>
    </row>
    <row r="55" spans="1:18" x14ac:dyDescent="0.25">
      <c r="B55" s="1" t="s">
        <v>146</v>
      </c>
      <c r="D55" s="101">
        <f t="shared" si="23"/>
        <v>12</v>
      </c>
      <c r="E55" s="79">
        <f t="shared" si="24"/>
        <v>0</v>
      </c>
      <c r="F55" s="71"/>
      <c r="G55" s="71">
        <v>0</v>
      </c>
      <c r="K55" s="6">
        <v>0</v>
      </c>
      <c r="L55" s="6">
        <v>0</v>
      </c>
      <c r="M55" s="6"/>
      <c r="N55" s="6">
        <v>0</v>
      </c>
      <c r="O55" s="6">
        <v>0</v>
      </c>
      <c r="Q55" s="6">
        <v>0</v>
      </c>
      <c r="R55" s="6">
        <v>0</v>
      </c>
    </row>
    <row r="56" spans="1:18" s="5" customFormat="1" x14ac:dyDescent="0.25">
      <c r="A56" s="51" t="s">
        <v>35</v>
      </c>
      <c r="B56" s="51"/>
      <c r="C56" s="51"/>
      <c r="D56" s="93"/>
      <c r="E56" s="75">
        <f t="shared" ref="E56:F56" si="25">SUM(E53:E55)</f>
        <v>583.34</v>
      </c>
      <c r="F56" s="75">
        <f t="shared" si="25"/>
        <v>0</v>
      </c>
      <c r="G56" s="75">
        <f>SUM(G53:G55)</f>
        <v>7000</v>
      </c>
      <c r="K56" s="51">
        <f>SUM(K53:K55)</f>
        <v>6714.23</v>
      </c>
      <c r="L56" s="51">
        <f>SUM(L53:L55)</f>
        <v>5453.9</v>
      </c>
      <c r="M56" s="51"/>
      <c r="N56" s="51">
        <f>SUM(N53:N55)</f>
        <v>6000</v>
      </c>
      <c r="O56" s="51">
        <f>SUM(O53:O55)</f>
        <v>5500</v>
      </c>
      <c r="Q56" s="51">
        <f>SUM(Q53:Q55)</f>
        <v>5311</v>
      </c>
      <c r="R56" s="51">
        <f>SUM(R53:R55)</f>
        <v>5000</v>
      </c>
    </row>
    <row r="57" spans="1:18" ht="6.75" customHeight="1" x14ac:dyDescent="0.25"/>
    <row r="58" spans="1:18" x14ac:dyDescent="0.25">
      <c r="A58" s="5" t="s">
        <v>141</v>
      </c>
    </row>
    <row r="59" spans="1:18" x14ac:dyDescent="0.25">
      <c r="B59" s="1" t="s">
        <v>144</v>
      </c>
      <c r="D59" s="101">
        <f t="shared" ref="D59:D60" si="26">+D$16</f>
        <v>12</v>
      </c>
      <c r="E59" s="79">
        <f t="shared" ref="E59:E60" si="27">ROUND(+$G59/$D59,2)</f>
        <v>25</v>
      </c>
      <c r="F59" s="71"/>
      <c r="G59" s="71">
        <v>300</v>
      </c>
      <c r="K59" s="6">
        <v>69.84</v>
      </c>
      <c r="L59" s="6">
        <v>70</v>
      </c>
      <c r="M59" s="6"/>
      <c r="N59" s="6">
        <v>250</v>
      </c>
      <c r="O59" s="6">
        <v>229</v>
      </c>
      <c r="Q59" s="6">
        <v>-366</v>
      </c>
      <c r="R59" s="6">
        <v>250</v>
      </c>
    </row>
    <row r="60" spans="1:18" x14ac:dyDescent="0.25">
      <c r="B60" s="1" t="s">
        <v>128</v>
      </c>
      <c r="D60" s="101">
        <f t="shared" si="26"/>
        <v>12</v>
      </c>
      <c r="E60" s="79">
        <f t="shared" si="27"/>
        <v>41.67</v>
      </c>
      <c r="F60" s="71"/>
      <c r="G60" s="71">
        <v>500</v>
      </c>
      <c r="K60" s="6">
        <v>0</v>
      </c>
      <c r="L60" s="6">
        <v>0</v>
      </c>
      <c r="M60" s="6"/>
      <c r="N60" s="6">
        <v>0</v>
      </c>
      <c r="O60" s="6">
        <v>0</v>
      </c>
      <c r="Q60" s="6">
        <v>0</v>
      </c>
      <c r="R60" s="6">
        <v>0</v>
      </c>
    </row>
    <row r="61" spans="1:18" s="5" customFormat="1" x14ac:dyDescent="0.25">
      <c r="A61" s="51" t="s">
        <v>127</v>
      </c>
      <c r="B61" s="51"/>
      <c r="C61" s="51"/>
      <c r="D61" s="93"/>
      <c r="E61" s="75">
        <f t="shared" ref="E61:F61" si="28">SUM(E59:E60)</f>
        <v>66.67</v>
      </c>
      <c r="F61" s="75">
        <f t="shared" si="28"/>
        <v>0</v>
      </c>
      <c r="G61" s="75">
        <f>SUM(G59:G60)</f>
        <v>800</v>
      </c>
      <c r="K61" s="51">
        <f>SUM(K59:K60)</f>
        <v>69.84</v>
      </c>
      <c r="L61" s="51">
        <f>SUM(L59:L60)</f>
        <v>70</v>
      </c>
      <c r="M61" s="51"/>
      <c r="N61" s="51">
        <f>SUM(N59:N60)</f>
        <v>250</v>
      </c>
      <c r="O61" s="51">
        <f>SUM(O59:O60)</f>
        <v>229</v>
      </c>
      <c r="Q61" s="51">
        <f>SUM(Q59:Q60)</f>
        <v>-366</v>
      </c>
      <c r="R61" s="51">
        <f>SUM(R59:R60)</f>
        <v>250</v>
      </c>
    </row>
    <row r="62" spans="1:18" ht="5.25" customHeight="1" x14ac:dyDescent="0.25"/>
    <row r="63" spans="1:18" x14ac:dyDescent="0.25">
      <c r="A63" s="51" t="s">
        <v>36</v>
      </c>
      <c r="B63" s="30"/>
      <c r="C63" s="30"/>
      <c r="D63" s="94">
        <f t="shared" ref="D63" si="29">+D$16</f>
        <v>12</v>
      </c>
      <c r="E63" s="86">
        <f t="shared" ref="E63" si="30">ROUND(+$G63/$D63,2)</f>
        <v>16.670000000000002</v>
      </c>
      <c r="F63" s="77"/>
      <c r="G63" s="77">
        <v>200</v>
      </c>
      <c r="K63" s="31">
        <v>135.97999999999999</v>
      </c>
      <c r="L63" s="31">
        <v>135.97999999999999</v>
      </c>
      <c r="M63" s="31"/>
      <c r="N63" s="31">
        <v>200</v>
      </c>
      <c r="O63" s="31">
        <v>183.37</v>
      </c>
      <c r="Q63" s="31">
        <v>164</v>
      </c>
      <c r="R63" s="31">
        <v>200</v>
      </c>
    </row>
    <row r="64" spans="1:18" ht="6" customHeight="1" x14ac:dyDescent="0.25"/>
    <row r="65" spans="1:18" x14ac:dyDescent="0.25">
      <c r="A65" s="5" t="s">
        <v>37</v>
      </c>
    </row>
    <row r="66" spans="1:18" x14ac:dyDescent="0.25">
      <c r="B66" s="1" t="s">
        <v>38</v>
      </c>
      <c r="E66" s="71">
        <v>0</v>
      </c>
      <c r="F66" s="71"/>
      <c r="G66" s="71">
        <v>600</v>
      </c>
      <c r="K66" s="6">
        <v>0</v>
      </c>
      <c r="L66" s="6">
        <v>0</v>
      </c>
      <c r="M66" s="6"/>
      <c r="N66" s="6">
        <v>1000</v>
      </c>
      <c r="O66" s="6">
        <v>916.63</v>
      </c>
      <c r="Q66" s="6">
        <v>350</v>
      </c>
      <c r="R66" s="6">
        <v>1000</v>
      </c>
    </row>
    <row r="67" spans="1:18" x14ac:dyDescent="0.25">
      <c r="B67" s="1" t="s">
        <v>39</v>
      </c>
      <c r="E67" s="71">
        <v>0</v>
      </c>
      <c r="F67" s="71"/>
      <c r="G67" s="71">
        <v>1000</v>
      </c>
      <c r="K67" s="6">
        <v>1062</v>
      </c>
      <c r="L67" s="6">
        <v>1062</v>
      </c>
      <c r="M67" s="6"/>
      <c r="N67" s="6">
        <v>1000</v>
      </c>
      <c r="O67" s="6">
        <v>1000</v>
      </c>
      <c r="Q67" s="6">
        <v>1094</v>
      </c>
      <c r="R67" s="6">
        <v>1100</v>
      </c>
    </row>
    <row r="68" spans="1:18" x14ac:dyDescent="0.25">
      <c r="B68" s="1" t="s">
        <v>40</v>
      </c>
      <c r="E68" s="71">
        <v>0</v>
      </c>
      <c r="F68" s="71"/>
      <c r="G68" s="71">
        <v>700</v>
      </c>
      <c r="K68" s="6">
        <v>150</v>
      </c>
      <c r="L68" s="6">
        <v>150</v>
      </c>
      <c r="M68" s="6"/>
      <c r="N68" s="6">
        <v>1500</v>
      </c>
      <c r="O68" s="6">
        <v>1375</v>
      </c>
      <c r="Q68" s="6">
        <v>1261</v>
      </c>
      <c r="R68" s="6">
        <v>1500</v>
      </c>
    </row>
    <row r="69" spans="1:18" x14ac:dyDescent="0.25">
      <c r="B69" s="1" t="s">
        <v>41</v>
      </c>
      <c r="D69" s="101">
        <f t="shared" ref="D69:D70" si="31">+D$16</f>
        <v>12</v>
      </c>
      <c r="E69" s="79">
        <f t="shared" ref="E69:E70" si="32">ROUND(+$G69/$D69,2)</f>
        <v>66.67</v>
      </c>
      <c r="F69" s="71"/>
      <c r="G69" s="71">
        <v>800</v>
      </c>
      <c r="K69" s="6">
        <v>338</v>
      </c>
      <c r="L69" s="6">
        <v>0</v>
      </c>
      <c r="M69" s="6"/>
      <c r="N69" s="6">
        <v>800</v>
      </c>
      <c r="O69" s="6">
        <v>733.37</v>
      </c>
      <c r="Q69" s="6">
        <v>422</v>
      </c>
      <c r="R69" s="6">
        <v>800</v>
      </c>
    </row>
    <row r="70" spans="1:18" x14ac:dyDescent="0.25">
      <c r="B70" s="1" t="s">
        <v>42</v>
      </c>
      <c r="D70" s="101">
        <f t="shared" si="31"/>
        <v>12</v>
      </c>
      <c r="E70" s="79">
        <f t="shared" si="32"/>
        <v>66.67</v>
      </c>
      <c r="F70" s="71"/>
      <c r="G70" s="71">
        <v>800</v>
      </c>
      <c r="K70" s="6">
        <v>1335</v>
      </c>
      <c r="L70" s="6">
        <v>425</v>
      </c>
      <c r="M70" s="6"/>
      <c r="N70" s="6">
        <v>800</v>
      </c>
      <c r="O70" s="6">
        <v>733.37</v>
      </c>
      <c r="Q70" s="6">
        <v>1084</v>
      </c>
      <c r="R70" s="6">
        <v>800</v>
      </c>
    </row>
    <row r="71" spans="1:18" s="5" customFormat="1" x14ac:dyDescent="0.25">
      <c r="A71" s="51" t="s">
        <v>43</v>
      </c>
      <c r="B71" s="51"/>
      <c r="C71" s="51"/>
      <c r="D71" s="93"/>
      <c r="E71" s="75">
        <f t="shared" ref="E71:F71" si="33">SUM(E66:E70)</f>
        <v>133.34</v>
      </c>
      <c r="F71" s="75">
        <f t="shared" si="33"/>
        <v>0</v>
      </c>
      <c r="G71" s="75">
        <f>SUM(G66:G70)</f>
        <v>3900</v>
      </c>
      <c r="K71" s="51">
        <f>SUM(K66:K70)</f>
        <v>2885</v>
      </c>
      <c r="L71" s="51">
        <f>SUM(L66:L70)</f>
        <v>1637</v>
      </c>
      <c r="M71" s="51"/>
      <c r="N71" s="51">
        <f>SUM(N66:N70)</f>
        <v>5100</v>
      </c>
      <c r="O71" s="51">
        <f>SUM(O66:O70)</f>
        <v>4758.37</v>
      </c>
      <c r="Q71" s="51">
        <f>SUM(Q66:Q70)</f>
        <v>4211</v>
      </c>
      <c r="R71" s="51">
        <f>SUM(R66:R70)</f>
        <v>5200</v>
      </c>
    </row>
    <row r="72" spans="1:18" ht="6" customHeight="1" x14ac:dyDescent="0.25"/>
    <row r="73" spans="1:18" x14ac:dyDescent="0.25">
      <c r="A73" s="5" t="s">
        <v>44</v>
      </c>
    </row>
    <row r="74" spans="1:18" x14ac:dyDescent="0.25">
      <c r="B74" s="1" t="s">
        <v>45</v>
      </c>
      <c r="D74" s="101">
        <f t="shared" ref="D74:D76" si="34">+D$16</f>
        <v>12</v>
      </c>
      <c r="E74" s="79">
        <f t="shared" ref="E74:E76" si="35">ROUND(+$G74/$D74,2)</f>
        <v>500</v>
      </c>
      <c r="F74" s="71"/>
      <c r="G74" s="71">
        <v>6000</v>
      </c>
      <c r="K74" s="6">
        <v>6754.87</v>
      </c>
      <c r="L74" s="6">
        <v>6287.61</v>
      </c>
      <c r="M74" s="6"/>
      <c r="N74" s="6">
        <v>7000</v>
      </c>
      <c r="O74" s="6">
        <v>6416.63</v>
      </c>
      <c r="Q74" s="6">
        <v>6352</v>
      </c>
      <c r="R74" s="6">
        <v>7000</v>
      </c>
    </row>
    <row r="75" spans="1:18" x14ac:dyDescent="0.25">
      <c r="B75" s="1" t="s">
        <v>46</v>
      </c>
      <c r="D75" s="101">
        <f t="shared" si="34"/>
        <v>12</v>
      </c>
      <c r="E75" s="79">
        <f t="shared" si="35"/>
        <v>458.33</v>
      </c>
      <c r="F75" s="71"/>
      <c r="G75" s="71">
        <v>5500</v>
      </c>
      <c r="K75" s="6">
        <v>5102.22</v>
      </c>
      <c r="L75" s="6">
        <v>5038.5200000000004</v>
      </c>
      <c r="M75" s="6"/>
      <c r="N75" s="6">
        <v>7000</v>
      </c>
      <c r="O75" s="6">
        <v>6416.63</v>
      </c>
      <c r="Q75" s="6">
        <v>5514</v>
      </c>
      <c r="R75" s="6">
        <v>7000</v>
      </c>
    </row>
    <row r="76" spans="1:18" x14ac:dyDescent="0.25">
      <c r="B76" s="1" t="s">
        <v>145</v>
      </c>
      <c r="D76" s="101">
        <f t="shared" si="34"/>
        <v>12</v>
      </c>
      <c r="E76" s="79">
        <f t="shared" si="35"/>
        <v>41.67</v>
      </c>
      <c r="F76" s="71"/>
      <c r="G76" s="71">
        <v>500</v>
      </c>
      <c r="K76" s="6">
        <v>490.5</v>
      </c>
      <c r="L76" s="6">
        <v>168</v>
      </c>
      <c r="M76" s="6"/>
      <c r="N76" s="6">
        <v>1000</v>
      </c>
      <c r="O76" s="6">
        <v>916.63</v>
      </c>
      <c r="Q76" s="6">
        <v>814</v>
      </c>
      <c r="R76" s="6">
        <v>1000</v>
      </c>
    </row>
    <row r="77" spans="1:18" x14ac:dyDescent="0.25">
      <c r="B77" s="1" t="s">
        <v>47</v>
      </c>
      <c r="E77" s="71">
        <v>0</v>
      </c>
      <c r="F77" s="71"/>
      <c r="G77" s="71">
        <v>253</v>
      </c>
      <c r="K77" s="6">
        <v>1519.9</v>
      </c>
      <c r="L77" s="6">
        <v>1393.4</v>
      </c>
      <c r="M77" s="6"/>
      <c r="N77" s="6">
        <v>2000</v>
      </c>
      <c r="O77" s="6">
        <v>1833.37</v>
      </c>
      <c r="Q77" s="6">
        <v>1709</v>
      </c>
      <c r="R77" s="6">
        <v>2300</v>
      </c>
    </row>
    <row r="78" spans="1:18" x14ac:dyDescent="0.25">
      <c r="B78" s="1" t="s">
        <v>48</v>
      </c>
      <c r="D78" s="101">
        <f t="shared" ref="D78:D80" si="36">+D$16</f>
        <v>12</v>
      </c>
      <c r="E78" s="79">
        <f t="shared" ref="E78:E80" si="37">ROUND(+$G78/$D78,2)</f>
        <v>1500</v>
      </c>
      <c r="F78" s="71"/>
      <c r="G78" s="71">
        <v>18000</v>
      </c>
      <c r="K78" s="6">
        <v>19805.919999999998</v>
      </c>
      <c r="L78" s="6">
        <v>17395.87</v>
      </c>
      <c r="M78" s="6"/>
      <c r="N78" s="6">
        <v>19000</v>
      </c>
      <c r="O78" s="6">
        <v>17416.63</v>
      </c>
      <c r="Q78" s="6">
        <v>21235</v>
      </c>
      <c r="R78" s="6">
        <v>19000</v>
      </c>
    </row>
    <row r="79" spans="1:18" x14ac:dyDescent="0.25">
      <c r="B79" s="1" t="s">
        <v>49</v>
      </c>
      <c r="D79" s="101">
        <f t="shared" si="36"/>
        <v>12</v>
      </c>
      <c r="E79" s="79">
        <f t="shared" si="37"/>
        <v>83.33</v>
      </c>
      <c r="F79" s="71"/>
      <c r="G79" s="71">
        <v>1000</v>
      </c>
      <c r="K79" s="6">
        <v>2509.48</v>
      </c>
      <c r="L79" s="6">
        <v>2359.34</v>
      </c>
      <c r="M79" s="6"/>
      <c r="N79" s="6">
        <v>1000</v>
      </c>
      <c r="O79" s="6">
        <v>916.63</v>
      </c>
      <c r="Q79" s="6">
        <v>1645</v>
      </c>
      <c r="R79" s="6">
        <v>800</v>
      </c>
    </row>
    <row r="80" spans="1:18" x14ac:dyDescent="0.25">
      <c r="B80" s="1" t="s">
        <v>50</v>
      </c>
      <c r="D80" s="101">
        <f t="shared" si="36"/>
        <v>12</v>
      </c>
      <c r="E80" s="79">
        <f t="shared" si="37"/>
        <v>83.33</v>
      </c>
      <c r="F80" s="71"/>
      <c r="G80" s="71">
        <v>1000</v>
      </c>
      <c r="K80" s="6">
        <v>404.26</v>
      </c>
      <c r="L80" s="6">
        <v>275.64999999999998</v>
      </c>
      <c r="M80" s="6"/>
      <c r="N80" s="6">
        <v>1000</v>
      </c>
      <c r="O80" s="6">
        <v>916.63</v>
      </c>
      <c r="Q80" s="6">
        <v>0</v>
      </c>
      <c r="R80" s="6">
        <v>0</v>
      </c>
    </row>
    <row r="81" spans="1:18" s="5" customFormat="1" x14ac:dyDescent="0.25">
      <c r="A81" s="51" t="s">
        <v>53</v>
      </c>
      <c r="B81" s="51"/>
      <c r="C81" s="51"/>
      <c r="D81" s="93"/>
      <c r="E81" s="75">
        <f t="shared" ref="E81:F81" si="38">SUM(E74:E80)</f>
        <v>2666.66</v>
      </c>
      <c r="F81" s="75">
        <f t="shared" si="38"/>
        <v>0</v>
      </c>
      <c r="G81" s="75">
        <f>SUM(G74:G80)</f>
        <v>32253</v>
      </c>
      <c r="K81" s="51">
        <f>SUM(K74:K80)</f>
        <v>36587.15</v>
      </c>
      <c r="L81" s="51">
        <f>SUM(L74:L80)</f>
        <v>32918.39</v>
      </c>
      <c r="M81" s="51"/>
      <c r="N81" s="51">
        <f>SUM(N74:N80)</f>
        <v>38000</v>
      </c>
      <c r="O81" s="51">
        <f>SUM(O74:O80)</f>
        <v>34833.149999999994</v>
      </c>
      <c r="Q81" s="51">
        <f>SUM(Q74:Q80)</f>
        <v>37269</v>
      </c>
      <c r="R81" s="51">
        <f>SUM(R74:R80)</f>
        <v>37100</v>
      </c>
    </row>
    <row r="82" spans="1:18" x14ac:dyDescent="0.25">
      <c r="A82" s="51" t="s">
        <v>126</v>
      </c>
      <c r="B82" s="32"/>
      <c r="C82" s="32"/>
      <c r="D82" s="95"/>
      <c r="E82" s="75">
        <f t="shared" ref="E82:F82" si="39">+E41+E43+E50+E56+E63+E71+E81+E61</f>
        <v>4754.18</v>
      </c>
      <c r="F82" s="75">
        <f t="shared" si="39"/>
        <v>0</v>
      </c>
      <c r="G82" s="75">
        <f>+G41+G43+G50+G56+G63+G71+G81+G61</f>
        <v>60553</v>
      </c>
      <c r="K82" s="51">
        <f>+K41+K43+K50+K56+K63+K71+K81+K61</f>
        <v>64010.14</v>
      </c>
      <c r="L82" s="51">
        <f>+L41+L43+L50+L56+L63+L71+L81+L61</f>
        <v>56474.49</v>
      </c>
      <c r="M82" s="51"/>
      <c r="N82" s="51">
        <f>+N41+N43+N50+N56+N63+N71+N81+N61</f>
        <v>66900</v>
      </c>
      <c r="O82" s="51">
        <f>+O41+O43+O50+O56+O63+O71+O81+O61</f>
        <v>61428.67</v>
      </c>
      <c r="Q82" s="51">
        <f>+Q41+Q43+Q50+Q56+Q63+Q71+Q81+Q61</f>
        <v>64017</v>
      </c>
      <c r="R82" s="51">
        <f>+R41+R43+R50+R56+R63+R71+R81+R61</f>
        <v>60900</v>
      </c>
    </row>
    <row r="83" spans="1:18" ht="8.25" customHeight="1" x14ac:dyDescent="0.25"/>
    <row r="84" spans="1:18" ht="18.75" x14ac:dyDescent="0.25">
      <c r="A84" s="11" t="s">
        <v>51</v>
      </c>
    </row>
    <row r="85" spans="1:18" x14ac:dyDescent="0.25">
      <c r="A85" s="5" t="s">
        <v>52</v>
      </c>
      <c r="E85" s="78"/>
      <c r="F85" s="78"/>
      <c r="G85" s="78"/>
    </row>
    <row r="86" spans="1:18" x14ac:dyDescent="0.25">
      <c r="B86" s="1" t="s">
        <v>54</v>
      </c>
      <c r="D86" s="101">
        <f t="shared" ref="D86:D90" si="40">+D$16</f>
        <v>12</v>
      </c>
      <c r="E86" s="79">
        <f t="shared" ref="E86:E90" si="41">ROUND(+$G86/$D86,2)</f>
        <v>7477.58</v>
      </c>
      <c r="F86" s="79"/>
      <c r="G86" s="79">
        <f>ROUND(+N86*(1+LEFT(C$133,1)/100),0)</f>
        <v>89731</v>
      </c>
      <c r="K86" s="6">
        <v>89731</v>
      </c>
      <c r="L86" s="6">
        <v>81037.41</v>
      </c>
      <c r="M86" s="6"/>
      <c r="N86" s="6">
        <v>89731</v>
      </c>
      <c r="O86" s="6">
        <v>82253.38</v>
      </c>
      <c r="Q86" s="6">
        <v>87117</v>
      </c>
      <c r="R86" s="6">
        <v>87117</v>
      </c>
    </row>
    <row r="87" spans="1:18" x14ac:dyDescent="0.25">
      <c r="B87" s="1" t="s">
        <v>55</v>
      </c>
      <c r="D87" s="101">
        <f t="shared" si="40"/>
        <v>12</v>
      </c>
      <c r="E87" s="79">
        <f t="shared" si="41"/>
        <v>458.33</v>
      </c>
      <c r="F87" s="71"/>
      <c r="G87" s="71">
        <v>5500</v>
      </c>
      <c r="K87" s="6">
        <v>5499.96</v>
      </c>
      <c r="L87" s="6">
        <v>5041.63</v>
      </c>
      <c r="M87" s="6"/>
      <c r="N87" s="6">
        <v>5500</v>
      </c>
      <c r="O87" s="6">
        <v>5041.63</v>
      </c>
      <c r="Q87" s="6">
        <v>5500</v>
      </c>
      <c r="R87" s="6">
        <v>5500</v>
      </c>
    </row>
    <row r="88" spans="1:18" x14ac:dyDescent="0.25">
      <c r="B88" s="1" t="s">
        <v>56</v>
      </c>
      <c r="D88" s="101">
        <f t="shared" si="40"/>
        <v>12</v>
      </c>
      <c r="E88" s="79">
        <f t="shared" si="41"/>
        <v>2845.75</v>
      </c>
      <c r="F88" s="71"/>
      <c r="G88" s="71">
        <v>34149</v>
      </c>
      <c r="K88" s="6">
        <v>34203.35</v>
      </c>
      <c r="L88" s="6">
        <v>31381.95</v>
      </c>
      <c r="M88" s="6"/>
      <c r="N88" s="6">
        <v>34603</v>
      </c>
      <c r="O88" s="6">
        <v>31719.38</v>
      </c>
      <c r="Q88" s="6">
        <v>33221</v>
      </c>
      <c r="R88" s="6">
        <v>33148</v>
      </c>
    </row>
    <row r="89" spans="1:18" x14ac:dyDescent="0.25">
      <c r="B89" s="1" t="s">
        <v>57</v>
      </c>
      <c r="D89" s="101">
        <f t="shared" si="40"/>
        <v>12</v>
      </c>
      <c r="E89" s="79">
        <f t="shared" si="41"/>
        <v>333.33</v>
      </c>
      <c r="F89" s="71"/>
      <c r="G89" s="71">
        <v>4000</v>
      </c>
      <c r="K89" s="6">
        <v>4048.31</v>
      </c>
      <c r="L89" s="6">
        <v>4048.31</v>
      </c>
      <c r="M89" s="6"/>
      <c r="N89" s="6">
        <v>4000</v>
      </c>
      <c r="O89" s="6">
        <v>3666.63</v>
      </c>
      <c r="Q89" s="6">
        <v>5289</v>
      </c>
      <c r="R89" s="6">
        <v>3500</v>
      </c>
    </row>
    <row r="90" spans="1:18" x14ac:dyDescent="0.25">
      <c r="B90" s="1" t="s">
        <v>58</v>
      </c>
      <c r="D90" s="101">
        <f t="shared" si="40"/>
        <v>12</v>
      </c>
      <c r="E90" s="79">
        <f t="shared" si="41"/>
        <v>250</v>
      </c>
      <c r="F90" s="71"/>
      <c r="G90" s="71">
        <v>3000</v>
      </c>
      <c r="K90" s="6">
        <v>1527.92</v>
      </c>
      <c r="L90" s="6">
        <v>1527.92</v>
      </c>
      <c r="M90" s="6"/>
      <c r="N90" s="6">
        <v>3000</v>
      </c>
      <c r="O90" s="6">
        <v>2750</v>
      </c>
      <c r="Q90" s="6">
        <v>1180</v>
      </c>
      <c r="R90" s="6">
        <v>3000</v>
      </c>
    </row>
    <row r="91" spans="1:18" s="5" customFormat="1" x14ac:dyDescent="0.25">
      <c r="A91" s="33" t="s">
        <v>59</v>
      </c>
      <c r="B91" s="33"/>
      <c r="C91" s="33"/>
      <c r="D91" s="96"/>
      <c r="E91" s="80">
        <f t="shared" ref="E91:F91" si="42">SUM(E86:E90)</f>
        <v>11364.99</v>
      </c>
      <c r="F91" s="80">
        <f t="shared" si="42"/>
        <v>0</v>
      </c>
      <c r="G91" s="80">
        <f>SUM(G86:G90)</f>
        <v>136380</v>
      </c>
      <c r="K91" s="33">
        <f>SUM(K86:K90)</f>
        <v>135010.54</v>
      </c>
      <c r="L91" s="33">
        <f>SUM(L86:L90)</f>
        <v>123037.22</v>
      </c>
      <c r="M91" s="33"/>
      <c r="N91" s="33">
        <f>SUM(N86:N90)</f>
        <v>136834</v>
      </c>
      <c r="O91" s="33">
        <f>SUM(O86:O90)</f>
        <v>125431.02000000002</v>
      </c>
      <c r="Q91" s="33">
        <f>SUM(Q86:Q90)</f>
        <v>132307</v>
      </c>
      <c r="R91" s="33">
        <f>SUM(R86:R90)</f>
        <v>132265</v>
      </c>
    </row>
    <row r="92" spans="1:18" ht="6.75" customHeight="1" x14ac:dyDescent="0.25"/>
    <row r="93" spans="1:18" x14ac:dyDescent="0.25">
      <c r="A93" s="5" t="s">
        <v>60</v>
      </c>
    </row>
    <row r="94" spans="1:18" x14ac:dyDescent="0.25">
      <c r="B94" s="1" t="s">
        <v>61</v>
      </c>
      <c r="D94" s="101">
        <f t="shared" ref="D94:D95" si="43">+D$16</f>
        <v>12</v>
      </c>
      <c r="E94" s="79">
        <f t="shared" ref="E94:E95" si="44">ROUND(+$G94/$D94,2)</f>
        <v>942.25</v>
      </c>
      <c r="F94" s="79"/>
      <c r="G94" s="79">
        <f>ROUND(+N94*(1+LEFT(C$133,1)/100),0)</f>
        <v>11307</v>
      </c>
      <c r="K94" s="6">
        <v>11307.12</v>
      </c>
      <c r="L94" s="6">
        <v>10364.86</v>
      </c>
      <c r="M94" s="6"/>
      <c r="N94" s="6">
        <v>11307</v>
      </c>
      <c r="O94" s="6">
        <v>10364.75</v>
      </c>
      <c r="Q94" s="6">
        <v>10978</v>
      </c>
      <c r="R94" s="6">
        <v>10978</v>
      </c>
    </row>
    <row r="95" spans="1:18" x14ac:dyDescent="0.25">
      <c r="B95" s="1" t="s">
        <v>62</v>
      </c>
      <c r="D95" s="101">
        <f t="shared" si="43"/>
        <v>12</v>
      </c>
      <c r="E95" s="79">
        <f t="shared" si="44"/>
        <v>416.67</v>
      </c>
      <c r="F95" s="71"/>
      <c r="G95" s="71">
        <v>5000</v>
      </c>
      <c r="K95" s="6">
        <v>4999.92</v>
      </c>
      <c r="L95" s="6">
        <v>4583.26</v>
      </c>
      <c r="M95" s="6"/>
      <c r="N95" s="6">
        <v>5000</v>
      </c>
      <c r="O95" s="6">
        <v>4583.37</v>
      </c>
      <c r="Q95" s="6">
        <v>5000</v>
      </c>
      <c r="R95" s="6">
        <v>5000</v>
      </c>
    </row>
    <row r="96" spans="1:18" s="5" customFormat="1" x14ac:dyDescent="0.25">
      <c r="A96" s="33" t="s">
        <v>63</v>
      </c>
      <c r="B96" s="33"/>
      <c r="C96" s="33"/>
      <c r="D96" s="96"/>
      <c r="E96" s="80">
        <f t="shared" ref="E96:F96" si="45">SUM(E94:E95)</f>
        <v>1358.92</v>
      </c>
      <c r="F96" s="80">
        <f t="shared" si="45"/>
        <v>0</v>
      </c>
      <c r="G96" s="80">
        <f>SUM(G94:G95)</f>
        <v>16307</v>
      </c>
      <c r="K96" s="33">
        <f>SUM(K94:K95)</f>
        <v>16307.04</v>
      </c>
      <c r="L96" s="33">
        <f>SUM(L94:L95)</f>
        <v>14948.12</v>
      </c>
      <c r="M96" s="33"/>
      <c r="N96" s="33">
        <f>SUM(N94:N95)</f>
        <v>16307</v>
      </c>
      <c r="O96" s="33">
        <f>SUM(O94:O95)</f>
        <v>14948.119999999999</v>
      </c>
      <c r="Q96" s="33">
        <f>SUM(Q94:Q95)</f>
        <v>15978</v>
      </c>
      <c r="R96" s="33">
        <f>SUM(R94:R95)</f>
        <v>15978</v>
      </c>
    </row>
    <row r="97" spans="1:18" ht="4.5" customHeight="1" x14ac:dyDescent="0.25"/>
    <row r="98" spans="1:18" x14ac:dyDescent="0.25">
      <c r="A98" s="5" t="s">
        <v>64</v>
      </c>
    </row>
    <row r="99" spans="1:18" x14ac:dyDescent="0.25">
      <c r="B99" s="1" t="s">
        <v>61</v>
      </c>
      <c r="D99" s="101">
        <f t="shared" ref="D99" si="46">+D$16</f>
        <v>12</v>
      </c>
      <c r="E99" s="79">
        <f t="shared" ref="E99" si="47">ROUND(+$G99/$D99,2)</f>
        <v>1127.25</v>
      </c>
      <c r="F99" s="79"/>
      <c r="G99" s="79">
        <f>ROUND(+N99*(1+LEFT(C$133,1)/100),0)</f>
        <v>13527</v>
      </c>
      <c r="K99" s="6">
        <v>13527.12</v>
      </c>
      <c r="L99" s="6">
        <v>12399.86</v>
      </c>
      <c r="M99" s="6"/>
      <c r="N99" s="6">
        <v>13527</v>
      </c>
      <c r="O99" s="6">
        <v>12399.75</v>
      </c>
      <c r="Q99" s="6">
        <v>13133</v>
      </c>
      <c r="R99" s="6">
        <v>13133</v>
      </c>
    </row>
    <row r="100" spans="1:18" x14ac:dyDescent="0.25">
      <c r="B100" s="1" t="s">
        <v>65</v>
      </c>
      <c r="E100" s="71">
        <v>93.75</v>
      </c>
      <c r="F100" s="71"/>
      <c r="G100" s="71">
        <v>750</v>
      </c>
      <c r="K100" s="6">
        <v>648.75</v>
      </c>
      <c r="L100" s="6">
        <v>648.75</v>
      </c>
      <c r="M100" s="6"/>
      <c r="N100" s="6">
        <v>1000</v>
      </c>
      <c r="O100" s="6">
        <v>916.63</v>
      </c>
      <c r="Q100" s="6">
        <v>739</v>
      </c>
      <c r="R100" s="6">
        <v>1000</v>
      </c>
    </row>
    <row r="101" spans="1:18" s="5" customFormat="1" x14ac:dyDescent="0.25">
      <c r="A101" s="33" t="s">
        <v>66</v>
      </c>
      <c r="B101" s="33"/>
      <c r="C101" s="33"/>
      <c r="D101" s="96"/>
      <c r="E101" s="80">
        <f t="shared" ref="E101:F101" si="48">SUM(E99:E100)</f>
        <v>1221</v>
      </c>
      <c r="F101" s="80">
        <f t="shared" si="48"/>
        <v>0</v>
      </c>
      <c r="G101" s="80">
        <f>SUM(G99:G100)</f>
        <v>14277</v>
      </c>
      <c r="K101" s="33">
        <f>SUM(K99:K100)</f>
        <v>14175.87</v>
      </c>
      <c r="L101" s="33">
        <f>SUM(L99:L100)</f>
        <v>13048.61</v>
      </c>
      <c r="M101" s="33"/>
      <c r="N101" s="33">
        <f>SUM(N99:N100)</f>
        <v>14527</v>
      </c>
      <c r="O101" s="33">
        <f>SUM(O99:O100)</f>
        <v>13316.38</v>
      </c>
      <c r="Q101" s="33">
        <f>SUM(Q99:Q100)</f>
        <v>13872</v>
      </c>
      <c r="R101" s="33">
        <f>SUM(R99:R100)</f>
        <v>14133</v>
      </c>
    </row>
    <row r="102" spans="1:18" ht="6" customHeight="1" x14ac:dyDescent="0.25"/>
    <row r="103" spans="1:18" x14ac:dyDescent="0.25">
      <c r="A103" s="5" t="s">
        <v>67</v>
      </c>
    </row>
    <row r="104" spans="1:18" x14ac:dyDescent="0.25">
      <c r="B104" s="1" t="s">
        <v>61</v>
      </c>
      <c r="D104" s="101">
        <f t="shared" ref="D104:D109" si="49">+D$16</f>
        <v>12</v>
      </c>
      <c r="E104" s="79">
        <f t="shared" ref="E104:E109" si="50">ROUND(+$G104/$D104,2)</f>
        <v>2912.83</v>
      </c>
      <c r="F104" s="71"/>
      <c r="G104" s="71">
        <v>34954</v>
      </c>
      <c r="K104" s="6">
        <v>33246</v>
      </c>
      <c r="L104" s="6">
        <v>30475.5</v>
      </c>
      <c r="M104" s="6"/>
      <c r="N104" s="6">
        <v>33246</v>
      </c>
      <c r="O104" s="6">
        <v>30475.5</v>
      </c>
      <c r="Q104" s="6">
        <v>32277</v>
      </c>
      <c r="R104" s="6">
        <v>32277</v>
      </c>
    </row>
    <row r="105" spans="1:18" x14ac:dyDescent="0.25">
      <c r="B105" s="1" t="s">
        <v>56</v>
      </c>
      <c r="D105" s="101">
        <f t="shared" si="49"/>
        <v>12</v>
      </c>
      <c r="E105" s="79">
        <f t="shared" si="50"/>
        <v>416.58</v>
      </c>
      <c r="F105" s="71"/>
      <c r="G105" s="71">
        <v>4999</v>
      </c>
      <c r="K105" s="6">
        <v>5044.57</v>
      </c>
      <c r="L105" s="6">
        <v>4648.3900000000003</v>
      </c>
      <c r="M105" s="6"/>
      <c r="N105" s="6">
        <v>5087</v>
      </c>
      <c r="O105" s="6">
        <v>4663.12</v>
      </c>
      <c r="Q105" s="6">
        <v>4642</v>
      </c>
      <c r="R105" s="6">
        <v>4616</v>
      </c>
    </row>
    <row r="106" spans="1:18" x14ac:dyDescent="0.25">
      <c r="B106" s="1" t="s">
        <v>58</v>
      </c>
      <c r="D106" s="101">
        <f t="shared" si="49"/>
        <v>12</v>
      </c>
      <c r="E106" s="79">
        <f t="shared" si="50"/>
        <v>62.5</v>
      </c>
      <c r="F106" s="71"/>
      <c r="G106" s="71">
        <v>750</v>
      </c>
      <c r="K106" s="6">
        <v>717.06</v>
      </c>
      <c r="L106" s="6">
        <v>387</v>
      </c>
      <c r="M106" s="6"/>
      <c r="N106" s="6">
        <v>750</v>
      </c>
      <c r="O106" s="6">
        <v>687.5</v>
      </c>
      <c r="Q106" s="6">
        <v>106</v>
      </c>
      <c r="R106" s="6">
        <v>750</v>
      </c>
    </row>
    <row r="107" spans="1:18" x14ac:dyDescent="0.25">
      <c r="B107" s="1" t="s">
        <v>57</v>
      </c>
      <c r="D107" s="101">
        <f t="shared" si="49"/>
        <v>12</v>
      </c>
      <c r="E107" s="79">
        <f t="shared" si="50"/>
        <v>166.67</v>
      </c>
      <c r="F107" s="71"/>
      <c r="G107" s="71">
        <v>2000</v>
      </c>
      <c r="K107" s="6">
        <v>2000</v>
      </c>
      <c r="L107" s="6">
        <v>2000</v>
      </c>
      <c r="M107" s="6"/>
      <c r="N107" s="6">
        <v>2000</v>
      </c>
      <c r="O107" s="6">
        <v>1833.37</v>
      </c>
      <c r="Q107" s="6">
        <v>2394</v>
      </c>
      <c r="R107" s="6">
        <v>1750</v>
      </c>
    </row>
    <row r="108" spans="1:18" x14ac:dyDescent="0.25">
      <c r="B108" s="1" t="s">
        <v>62</v>
      </c>
      <c r="D108" s="101">
        <f t="shared" si="49"/>
        <v>12</v>
      </c>
      <c r="E108" s="79">
        <f t="shared" si="50"/>
        <v>125</v>
      </c>
      <c r="F108" s="71"/>
      <c r="G108" s="71">
        <v>1500</v>
      </c>
      <c r="K108" s="6">
        <v>1660.55</v>
      </c>
      <c r="L108" s="6">
        <v>990.1</v>
      </c>
      <c r="M108" s="6"/>
      <c r="N108" s="6">
        <v>1270</v>
      </c>
      <c r="O108" s="6">
        <v>1164.1300000000001</v>
      </c>
      <c r="Q108" s="6">
        <v>1240</v>
      </c>
      <c r="R108" s="6">
        <v>1271</v>
      </c>
    </row>
    <row r="109" spans="1:18" x14ac:dyDescent="0.25">
      <c r="B109" s="1" t="s">
        <v>68</v>
      </c>
      <c r="D109" s="101">
        <f t="shared" si="49"/>
        <v>12</v>
      </c>
      <c r="E109" s="79">
        <f t="shared" si="50"/>
        <v>93</v>
      </c>
      <c r="F109" s="71"/>
      <c r="G109" s="71">
        <v>1116</v>
      </c>
      <c r="K109" s="6">
        <v>1057.54</v>
      </c>
      <c r="L109" s="6">
        <v>964.59</v>
      </c>
      <c r="M109" s="6"/>
      <c r="N109" s="6">
        <v>1000</v>
      </c>
      <c r="O109" s="6">
        <v>916.63</v>
      </c>
      <c r="Q109" s="6">
        <v>0</v>
      </c>
      <c r="R109" s="6">
        <v>0</v>
      </c>
    </row>
    <row r="110" spans="1:18" s="5" customFormat="1" x14ac:dyDescent="0.25">
      <c r="A110" s="33" t="s">
        <v>69</v>
      </c>
      <c r="B110" s="33"/>
      <c r="C110" s="33"/>
      <c r="D110" s="96"/>
      <c r="E110" s="80">
        <f t="shared" ref="E110:F110" si="51">SUM(E104:E109)</f>
        <v>3776.58</v>
      </c>
      <c r="F110" s="80">
        <f t="shared" si="51"/>
        <v>0</v>
      </c>
      <c r="G110" s="80">
        <f>SUM(G104:G109)</f>
        <v>45319</v>
      </c>
      <c r="K110" s="33">
        <f>SUM(K104:K109)</f>
        <v>43725.72</v>
      </c>
      <c r="L110" s="33">
        <f>SUM(L104:L109)</f>
        <v>39465.579999999994</v>
      </c>
      <c r="M110" s="33"/>
      <c r="N110" s="33">
        <f>SUM(N104:N109)</f>
        <v>43353</v>
      </c>
      <c r="O110" s="33">
        <f>SUM(O104:O109)</f>
        <v>39740.25</v>
      </c>
      <c r="Q110" s="33">
        <f>SUM(Q104:Q109)</f>
        <v>40659</v>
      </c>
      <c r="R110" s="33">
        <f>SUM(R104:R109)</f>
        <v>40664</v>
      </c>
    </row>
    <row r="111" spans="1:18" ht="6" customHeight="1" x14ac:dyDescent="0.25"/>
    <row r="112" spans="1:18" x14ac:dyDescent="0.25">
      <c r="A112" s="5" t="s">
        <v>70</v>
      </c>
    </row>
    <row r="113" spans="1:18" x14ac:dyDescent="0.25">
      <c r="B113" s="1" t="s">
        <v>71</v>
      </c>
      <c r="D113" s="101">
        <f t="shared" ref="D113:D115" si="52">+D$16</f>
        <v>12</v>
      </c>
      <c r="E113" s="79">
        <f t="shared" ref="E113:E115" si="53">ROUND(+$G113/$D113,2)</f>
        <v>798.33</v>
      </c>
      <c r="F113" s="79"/>
      <c r="G113" s="79">
        <f>ROUND(+N113*(1+LEFT(C$133,1)/100),0)</f>
        <v>9580</v>
      </c>
      <c r="K113" s="6">
        <v>9580.08</v>
      </c>
      <c r="L113" s="6">
        <v>8781.74</v>
      </c>
      <c r="M113" s="6"/>
      <c r="N113" s="6">
        <v>9580</v>
      </c>
      <c r="O113" s="6">
        <v>8781.6299999999992</v>
      </c>
      <c r="Q113" s="6">
        <v>9580</v>
      </c>
      <c r="R113" s="6">
        <v>9580</v>
      </c>
    </row>
    <row r="114" spans="1:18" x14ac:dyDescent="0.25">
      <c r="B114" s="1" t="s">
        <v>72</v>
      </c>
      <c r="D114" s="101">
        <f t="shared" si="52"/>
        <v>12</v>
      </c>
      <c r="E114" s="79">
        <f t="shared" si="53"/>
        <v>41.67</v>
      </c>
      <c r="F114" s="71"/>
      <c r="G114" s="71">
        <v>500</v>
      </c>
      <c r="K114" s="6">
        <v>200</v>
      </c>
      <c r="L114" s="6">
        <v>200</v>
      </c>
      <c r="M114" s="6"/>
      <c r="N114" s="6">
        <v>900</v>
      </c>
      <c r="O114" s="6">
        <v>825</v>
      </c>
      <c r="Q114" s="6">
        <v>400</v>
      </c>
      <c r="R114" s="6">
        <v>900</v>
      </c>
    </row>
    <row r="115" spans="1:18" x14ac:dyDescent="0.25">
      <c r="B115" s="1" t="s">
        <v>73</v>
      </c>
      <c r="D115" s="101">
        <f t="shared" si="52"/>
        <v>12</v>
      </c>
      <c r="E115" s="79">
        <f t="shared" si="53"/>
        <v>1483</v>
      </c>
      <c r="F115" s="79"/>
      <c r="G115" s="79">
        <f>ROUND(+N115*(1+LEFT(C$133,1)/100),0)</f>
        <v>17796</v>
      </c>
      <c r="K115" s="6">
        <v>17915.759999999998</v>
      </c>
      <c r="L115" s="6">
        <v>16560.28</v>
      </c>
      <c r="M115" s="6"/>
      <c r="N115" s="6">
        <v>17796</v>
      </c>
      <c r="O115" s="6">
        <v>16313</v>
      </c>
      <c r="Q115" s="6">
        <v>17492</v>
      </c>
      <c r="R115" s="6">
        <v>20400</v>
      </c>
    </row>
    <row r="116" spans="1:18" x14ac:dyDescent="0.25">
      <c r="B116" s="1" t="s">
        <v>74</v>
      </c>
      <c r="E116" s="71">
        <v>658.1</v>
      </c>
      <c r="F116" s="79"/>
      <c r="G116" s="79">
        <f>ROUND(+N116*(1+LEFT(C$133,1)/100),0)</f>
        <v>6581</v>
      </c>
      <c r="K116" s="6">
        <v>6581</v>
      </c>
      <c r="L116" s="6">
        <v>5922.9</v>
      </c>
      <c r="M116" s="6"/>
      <c r="N116" s="6">
        <v>6581</v>
      </c>
      <c r="O116" s="6">
        <v>5922.9</v>
      </c>
      <c r="Q116" s="6">
        <v>6389</v>
      </c>
      <c r="R116" s="6">
        <v>6389</v>
      </c>
    </row>
    <row r="117" spans="1:18" x14ac:dyDescent="0.25">
      <c r="B117" s="1" t="s">
        <v>75</v>
      </c>
      <c r="D117" s="101">
        <f t="shared" ref="D117:D118" si="54">+D$16</f>
        <v>12</v>
      </c>
      <c r="E117" s="79">
        <f t="shared" ref="E117:E118" si="55">ROUND(+$G117/$D117,2)</f>
        <v>141.5</v>
      </c>
      <c r="F117" s="79"/>
      <c r="G117" s="79">
        <f>ROUND(+N117*(1+LEFT(C$133,1)/100),0)</f>
        <v>1698</v>
      </c>
      <c r="K117" s="6">
        <v>1697.4</v>
      </c>
      <c r="L117" s="6">
        <v>1555.95</v>
      </c>
      <c r="M117" s="6"/>
      <c r="N117" s="6">
        <v>1698</v>
      </c>
      <c r="O117" s="6">
        <v>1556.5</v>
      </c>
      <c r="Q117" s="6">
        <v>1697</v>
      </c>
      <c r="R117" s="6">
        <v>1698</v>
      </c>
    </row>
    <row r="118" spans="1:18" x14ac:dyDescent="0.25">
      <c r="B118" s="1" t="s">
        <v>76</v>
      </c>
      <c r="D118" s="101">
        <f t="shared" si="54"/>
        <v>12</v>
      </c>
      <c r="E118" s="79">
        <f t="shared" si="55"/>
        <v>200</v>
      </c>
      <c r="F118" s="71"/>
      <c r="G118" s="71">
        <v>2400</v>
      </c>
      <c r="K118" s="6">
        <v>2400</v>
      </c>
      <c r="L118" s="6">
        <v>2200</v>
      </c>
      <c r="M118" s="6"/>
      <c r="N118" s="6">
        <v>2500</v>
      </c>
      <c r="O118" s="6">
        <v>2291.63</v>
      </c>
      <c r="Q118" s="6">
        <v>2400</v>
      </c>
      <c r="R118" s="6">
        <v>2500</v>
      </c>
    </row>
    <row r="119" spans="1:18" s="5" customFormat="1" x14ac:dyDescent="0.25">
      <c r="A119" s="33" t="s">
        <v>77</v>
      </c>
      <c r="B119" s="33"/>
      <c r="C119" s="33"/>
      <c r="D119" s="96"/>
      <c r="E119" s="80">
        <f t="shared" ref="E119:F119" si="56">SUM(E113:E118)</f>
        <v>3322.6</v>
      </c>
      <c r="F119" s="80">
        <f t="shared" si="56"/>
        <v>0</v>
      </c>
      <c r="G119" s="80">
        <f>SUM(G113:G118)</f>
        <v>38555</v>
      </c>
      <c r="K119" s="33">
        <f>SUM(K113:K118)</f>
        <v>38374.239999999998</v>
      </c>
      <c r="L119" s="33">
        <f>SUM(L113:L118)</f>
        <v>35220.869999999995</v>
      </c>
      <c r="M119" s="33"/>
      <c r="N119" s="33">
        <f>SUM(N113:N118)</f>
        <v>39055</v>
      </c>
      <c r="O119" s="33">
        <f>SUM(O113:O118)</f>
        <v>35690.659999999996</v>
      </c>
      <c r="Q119" s="33">
        <f>SUM(Q113:Q118)</f>
        <v>37958</v>
      </c>
      <c r="R119" s="33">
        <f>SUM(R113:R118)</f>
        <v>41467</v>
      </c>
    </row>
    <row r="120" spans="1:18" ht="6.75" customHeight="1" x14ac:dyDescent="0.25"/>
    <row r="121" spans="1:18" x14ac:dyDescent="0.25">
      <c r="A121" s="5" t="s">
        <v>78</v>
      </c>
    </row>
    <row r="122" spans="1:18" x14ac:dyDescent="0.25">
      <c r="B122" s="1" t="s">
        <v>147</v>
      </c>
      <c r="D122" s="101">
        <f t="shared" ref="D122:D128" si="57">+D$16</f>
        <v>12</v>
      </c>
      <c r="E122" s="79">
        <f t="shared" ref="E122:E131" si="58">ROUND(+$G122/$D122,2)</f>
        <v>1006.25</v>
      </c>
      <c r="F122" s="71"/>
      <c r="G122" s="71">
        <v>12075</v>
      </c>
      <c r="K122" s="6">
        <v>12389.46</v>
      </c>
      <c r="L122" s="6">
        <v>11464.97</v>
      </c>
      <c r="M122" s="6"/>
      <c r="N122" s="6">
        <v>10655</v>
      </c>
      <c r="O122" s="6">
        <v>9767.1200000000008</v>
      </c>
      <c r="Q122" s="6">
        <v>11830</v>
      </c>
      <c r="R122" s="6">
        <v>10343</v>
      </c>
    </row>
    <row r="123" spans="1:18" x14ac:dyDescent="0.25">
      <c r="B123" s="1" t="s">
        <v>80</v>
      </c>
      <c r="D123" s="101">
        <f t="shared" si="57"/>
        <v>12</v>
      </c>
      <c r="E123" s="79">
        <f t="shared" si="58"/>
        <v>2593.17</v>
      </c>
      <c r="F123" s="79"/>
      <c r="G123" s="79">
        <f>ROUND(+N123/2*(LEFT(C$133,1)/100),0)+N123</f>
        <v>31118</v>
      </c>
      <c r="K123" s="6">
        <v>34818.239999999998</v>
      </c>
      <c r="L123" s="6">
        <v>31769.16</v>
      </c>
      <c r="M123" s="6"/>
      <c r="N123" s="6">
        <v>31118</v>
      </c>
      <c r="O123" s="6">
        <v>28524.87</v>
      </c>
      <c r="Q123" s="6">
        <v>31785</v>
      </c>
      <c r="R123" s="6">
        <v>28461</v>
      </c>
    </row>
    <row r="124" spans="1:18" x14ac:dyDescent="0.25">
      <c r="B124" s="1" t="s">
        <v>81</v>
      </c>
      <c r="D124" s="101">
        <f t="shared" si="57"/>
        <v>12</v>
      </c>
      <c r="E124" s="79">
        <f t="shared" si="58"/>
        <v>41.67</v>
      </c>
      <c r="F124" s="71"/>
      <c r="G124" s="71">
        <v>500</v>
      </c>
      <c r="K124" s="6">
        <v>544.22</v>
      </c>
      <c r="L124" s="6">
        <v>544.22</v>
      </c>
      <c r="M124" s="6"/>
      <c r="N124" s="6">
        <v>500</v>
      </c>
      <c r="O124" s="6">
        <v>458.37</v>
      </c>
      <c r="Q124" s="6">
        <v>569</v>
      </c>
      <c r="R124" s="6">
        <v>500</v>
      </c>
    </row>
    <row r="125" spans="1:18" x14ac:dyDescent="0.25">
      <c r="B125" s="1" t="s">
        <v>82</v>
      </c>
      <c r="D125" s="101">
        <f t="shared" si="57"/>
        <v>12</v>
      </c>
      <c r="E125" s="79">
        <f t="shared" si="58"/>
        <v>83.33</v>
      </c>
      <c r="F125" s="71"/>
      <c r="G125" s="71">
        <v>1000</v>
      </c>
      <c r="K125" s="6">
        <v>702.87</v>
      </c>
      <c r="L125" s="6">
        <v>102.87</v>
      </c>
      <c r="M125" s="6"/>
      <c r="N125" s="6">
        <v>1000</v>
      </c>
      <c r="O125" s="6">
        <v>916.63</v>
      </c>
      <c r="Q125" s="6">
        <v>700</v>
      </c>
      <c r="R125" s="6">
        <v>1300</v>
      </c>
    </row>
    <row r="126" spans="1:18" x14ac:dyDescent="0.25">
      <c r="B126" s="1" t="s">
        <v>83</v>
      </c>
      <c r="D126" s="101">
        <f t="shared" si="57"/>
        <v>12</v>
      </c>
      <c r="E126" s="79">
        <f t="shared" si="58"/>
        <v>50</v>
      </c>
      <c r="F126" s="71"/>
      <c r="G126" s="71">
        <f>7.5*4*20</f>
        <v>600</v>
      </c>
      <c r="J126" s="6"/>
      <c r="K126" s="6">
        <v>1475.17</v>
      </c>
      <c r="L126" s="6">
        <v>1298.29</v>
      </c>
      <c r="M126" s="6"/>
      <c r="N126" s="6">
        <v>600</v>
      </c>
      <c r="O126" s="6">
        <v>550</v>
      </c>
      <c r="Q126" s="6">
        <v>770</v>
      </c>
      <c r="R126" s="6">
        <v>600</v>
      </c>
    </row>
    <row r="127" spans="1:18" x14ac:dyDescent="0.25">
      <c r="B127" s="1" t="s">
        <v>125</v>
      </c>
      <c r="D127" s="101">
        <f t="shared" si="57"/>
        <v>12</v>
      </c>
      <c r="E127" s="79">
        <f t="shared" si="58"/>
        <v>1437.5</v>
      </c>
      <c r="F127" s="71"/>
      <c r="G127" s="71">
        <f>11.5*30*50</f>
        <v>17250</v>
      </c>
      <c r="K127" s="6">
        <v>22400.240000000002</v>
      </c>
      <c r="L127" s="6">
        <v>20563.669999999998</v>
      </c>
      <c r="M127" s="6"/>
      <c r="N127" s="6">
        <v>19282</v>
      </c>
      <c r="O127" s="6">
        <v>17675.13</v>
      </c>
      <c r="Q127" s="6">
        <v>19111</v>
      </c>
      <c r="R127" s="6">
        <v>19486</v>
      </c>
    </row>
    <row r="128" spans="1:18" x14ac:dyDescent="0.25">
      <c r="B128" s="1" t="s">
        <v>84</v>
      </c>
      <c r="D128" s="101">
        <f t="shared" si="57"/>
        <v>12</v>
      </c>
      <c r="E128" s="79">
        <f t="shared" si="58"/>
        <v>816.67</v>
      </c>
      <c r="F128" s="71"/>
      <c r="G128" s="71">
        <v>9800</v>
      </c>
      <c r="K128" s="6">
        <v>8457.07</v>
      </c>
      <c r="L128" s="6">
        <v>7614.73</v>
      </c>
      <c r="M128" s="6"/>
      <c r="N128" s="6">
        <v>10025</v>
      </c>
      <c r="O128" s="6">
        <v>9189.6200000000008</v>
      </c>
      <c r="Q128" s="6">
        <v>9696</v>
      </c>
      <c r="R128" s="6">
        <v>9000</v>
      </c>
    </row>
    <row r="129" spans="1:18" x14ac:dyDescent="0.25">
      <c r="B129" s="1" t="s">
        <v>85</v>
      </c>
      <c r="D129" s="100">
        <v>4</v>
      </c>
      <c r="E129" s="79">
        <f t="shared" si="58"/>
        <v>850</v>
      </c>
      <c r="F129" s="71"/>
      <c r="G129" s="71">
        <v>3400</v>
      </c>
      <c r="K129" s="6">
        <v>2455</v>
      </c>
      <c r="L129" s="6">
        <v>2455</v>
      </c>
      <c r="M129" s="6"/>
      <c r="N129" s="6">
        <v>3300</v>
      </c>
      <c r="O129" s="6">
        <v>3300</v>
      </c>
      <c r="Q129" s="6">
        <v>3120</v>
      </c>
      <c r="R129" s="6">
        <v>2910</v>
      </c>
    </row>
    <row r="130" spans="1:18" x14ac:dyDescent="0.25">
      <c r="B130" s="1" t="s">
        <v>86</v>
      </c>
      <c r="D130" s="101">
        <f t="shared" ref="D130" si="59">+D$16</f>
        <v>12</v>
      </c>
      <c r="E130" s="79">
        <f t="shared" si="58"/>
        <v>50</v>
      </c>
      <c r="F130" s="71"/>
      <c r="G130" s="71">
        <v>600</v>
      </c>
      <c r="K130" s="6">
        <v>1400</v>
      </c>
      <c r="L130" s="6">
        <v>1050</v>
      </c>
      <c r="M130" s="6"/>
      <c r="N130" s="6">
        <v>600</v>
      </c>
      <c r="O130" s="6">
        <v>550</v>
      </c>
      <c r="Q130" s="6">
        <v>700</v>
      </c>
      <c r="R130" s="6">
        <v>600</v>
      </c>
    </row>
    <row r="131" spans="1:18" x14ac:dyDescent="0.25">
      <c r="B131" s="1" t="s">
        <v>87</v>
      </c>
      <c r="D131" s="100">
        <v>2</v>
      </c>
      <c r="E131" s="79">
        <f t="shared" si="58"/>
        <v>-2500</v>
      </c>
      <c r="F131" s="71"/>
      <c r="G131" s="71">
        <v>-5000</v>
      </c>
      <c r="K131" s="6">
        <v>-4000</v>
      </c>
      <c r="L131" s="6">
        <v>-4000</v>
      </c>
      <c r="M131" s="6"/>
      <c r="N131" s="6">
        <v>-4000</v>
      </c>
      <c r="O131" s="6">
        <v>-4000</v>
      </c>
      <c r="Q131" s="6">
        <v>-4000</v>
      </c>
      <c r="R131" s="6">
        <v>-4000</v>
      </c>
    </row>
    <row r="132" spans="1:18" s="5" customFormat="1" x14ac:dyDescent="0.25">
      <c r="A132" s="33" t="s">
        <v>79</v>
      </c>
      <c r="B132" s="33"/>
      <c r="C132" s="33"/>
      <c r="D132" s="96"/>
      <c r="E132" s="80">
        <f t="shared" ref="E132:F132" si="60">SUM(E122:E131)</f>
        <v>4428.59</v>
      </c>
      <c r="F132" s="80">
        <f t="shared" si="60"/>
        <v>0</v>
      </c>
      <c r="G132" s="80">
        <f>SUM(G122:G131)</f>
        <v>71343</v>
      </c>
      <c r="K132" s="33">
        <f>SUM(K122:K131)</f>
        <v>80642.26999999999</v>
      </c>
      <c r="L132" s="33">
        <f>SUM(L122:L131)</f>
        <v>72862.909999999989</v>
      </c>
      <c r="M132" s="33"/>
      <c r="N132" s="33">
        <f>SUM(N122:N131)</f>
        <v>73080</v>
      </c>
      <c r="O132" s="33">
        <f>SUM(O122:O131)</f>
        <v>66931.739999999991</v>
      </c>
      <c r="Q132" s="33">
        <f>SUM(Q122:Q131)</f>
        <v>74281</v>
      </c>
      <c r="R132" s="33">
        <f>SUM(R122:R131)</f>
        <v>69200</v>
      </c>
    </row>
    <row r="133" spans="1:18" x14ac:dyDescent="0.25">
      <c r="A133" s="33" t="s">
        <v>88</v>
      </c>
      <c r="B133" s="33"/>
      <c r="C133" s="44" t="str">
        <f>0*100%&amp;"% Cost of Living"</f>
        <v>0% Cost of Living</v>
      </c>
      <c r="D133" s="96"/>
      <c r="E133" s="80">
        <f t="shared" ref="E133:F133" si="61">+E91+E96+E101+E110+E119+E132</f>
        <v>25472.679999999997</v>
      </c>
      <c r="F133" s="80">
        <f t="shared" si="61"/>
        <v>0</v>
      </c>
      <c r="G133" s="80">
        <f>+G91+G96+G101+G110+G119+G132</f>
        <v>322181</v>
      </c>
      <c r="K133" s="33">
        <f t="shared" ref="K133:L133" si="62">+K91+K96+K101+K110+K119+K132</f>
        <v>328235.68</v>
      </c>
      <c r="L133" s="33">
        <f t="shared" si="62"/>
        <v>298583.31</v>
      </c>
      <c r="M133" s="33"/>
      <c r="N133" s="33">
        <f>+N91+N96+N101+N110+N119+N132</f>
        <v>323156</v>
      </c>
      <c r="O133" s="33">
        <f>+O91+O96+O101+O110+O119+O132</f>
        <v>296058.17000000004</v>
      </c>
      <c r="Q133" s="33">
        <f t="shared" ref="Q133:R133" si="63">+Q91+Q96+Q101+Q110+Q119+Q132</f>
        <v>315055</v>
      </c>
      <c r="R133" s="33">
        <f t="shared" si="63"/>
        <v>313707</v>
      </c>
    </row>
    <row r="134" spans="1:18" ht="8.25" customHeight="1" x14ac:dyDescent="0.25"/>
    <row r="135" spans="1:18" ht="18.75" x14ac:dyDescent="0.25">
      <c r="A135" s="11" t="s">
        <v>89</v>
      </c>
    </row>
    <row r="136" spans="1:18" x14ac:dyDescent="0.25">
      <c r="A136" s="5" t="s">
        <v>90</v>
      </c>
    </row>
    <row r="137" spans="1:18" x14ac:dyDescent="0.25">
      <c r="B137" s="1" t="s">
        <v>92</v>
      </c>
      <c r="D137" s="101">
        <f t="shared" ref="D137:D142" si="64">+D$16</f>
        <v>12</v>
      </c>
      <c r="E137" s="79">
        <f t="shared" ref="E137:E143" si="65">ROUND(+$G137/$D137,2)</f>
        <v>1500</v>
      </c>
      <c r="F137" s="71"/>
      <c r="G137" s="71">
        <v>18000</v>
      </c>
      <c r="K137" s="6">
        <v>18034.32</v>
      </c>
      <c r="L137" s="6">
        <v>16321.87</v>
      </c>
      <c r="M137" s="6"/>
      <c r="N137" s="6">
        <v>16500</v>
      </c>
      <c r="O137" s="6">
        <v>15125</v>
      </c>
      <c r="Q137" s="6">
        <v>16071</v>
      </c>
      <c r="R137" s="6">
        <v>14500</v>
      </c>
    </row>
    <row r="138" spans="1:18" x14ac:dyDescent="0.25">
      <c r="B138" s="1" t="s">
        <v>93</v>
      </c>
      <c r="D138" s="101">
        <f t="shared" si="64"/>
        <v>12</v>
      </c>
      <c r="E138" s="79">
        <f t="shared" si="65"/>
        <v>1000</v>
      </c>
      <c r="F138" s="71"/>
      <c r="G138" s="71">
        <v>12000</v>
      </c>
      <c r="K138" s="6">
        <v>12335.85</v>
      </c>
      <c r="L138" s="6">
        <v>11367.85</v>
      </c>
      <c r="M138" s="6"/>
      <c r="N138" s="6">
        <v>12000</v>
      </c>
      <c r="O138" s="6">
        <v>11000</v>
      </c>
      <c r="Q138" s="6">
        <v>10365</v>
      </c>
      <c r="R138" s="6">
        <v>12000</v>
      </c>
    </row>
    <row r="139" spans="1:18" x14ac:dyDescent="0.25">
      <c r="B139" s="1" t="s">
        <v>94</v>
      </c>
      <c r="D139" s="101">
        <f t="shared" si="64"/>
        <v>12</v>
      </c>
      <c r="E139" s="79">
        <f t="shared" si="65"/>
        <v>283.33</v>
      </c>
      <c r="F139" s="71"/>
      <c r="G139" s="71">
        <v>3400</v>
      </c>
      <c r="K139" s="6">
        <v>4597.7</v>
      </c>
      <c r="L139" s="6">
        <v>3726.01</v>
      </c>
      <c r="M139" s="6"/>
      <c r="N139" s="6">
        <v>3900</v>
      </c>
      <c r="O139" s="6">
        <v>3575</v>
      </c>
      <c r="Q139" s="6">
        <v>3847</v>
      </c>
      <c r="R139" s="6">
        <v>3900</v>
      </c>
    </row>
    <row r="140" spans="1:18" x14ac:dyDescent="0.25">
      <c r="B140" s="1" t="s">
        <v>95</v>
      </c>
      <c r="D140" s="100">
        <v>4</v>
      </c>
      <c r="E140" s="79">
        <f t="shared" si="65"/>
        <v>212.5</v>
      </c>
      <c r="F140" s="71"/>
      <c r="G140" s="71">
        <v>850</v>
      </c>
      <c r="K140" s="6">
        <v>742.15</v>
      </c>
      <c r="L140" s="6">
        <v>742.15</v>
      </c>
      <c r="M140" s="6"/>
      <c r="N140" s="6">
        <v>800</v>
      </c>
      <c r="O140" s="6">
        <v>800</v>
      </c>
      <c r="Q140" s="6">
        <v>766</v>
      </c>
      <c r="R140" s="6">
        <v>750</v>
      </c>
    </row>
    <row r="141" spans="1:18" x14ac:dyDescent="0.25">
      <c r="B141" s="1" t="s">
        <v>96</v>
      </c>
      <c r="D141" s="101">
        <f t="shared" si="64"/>
        <v>12</v>
      </c>
      <c r="E141" s="79">
        <f t="shared" si="65"/>
        <v>275</v>
      </c>
      <c r="F141" s="71"/>
      <c r="G141" s="71">
        <v>3300</v>
      </c>
      <c r="K141" s="6">
        <v>3534.28</v>
      </c>
      <c r="L141" s="6">
        <v>3225.73</v>
      </c>
      <c r="M141" s="6"/>
      <c r="N141" s="6">
        <v>3300</v>
      </c>
      <c r="O141" s="6">
        <v>3025</v>
      </c>
      <c r="Q141" s="6">
        <v>3016</v>
      </c>
      <c r="R141" s="6">
        <v>3300</v>
      </c>
    </row>
    <row r="142" spans="1:18" x14ac:dyDescent="0.25">
      <c r="B142" s="1" t="s">
        <v>97</v>
      </c>
      <c r="D142" s="101">
        <f t="shared" si="64"/>
        <v>12</v>
      </c>
      <c r="E142" s="79">
        <f t="shared" si="65"/>
        <v>208.33</v>
      </c>
      <c r="F142" s="71"/>
      <c r="G142" s="71">
        <v>2500</v>
      </c>
      <c r="K142" s="6">
        <v>2948.57</v>
      </c>
      <c r="L142" s="6">
        <v>2716.41</v>
      </c>
      <c r="M142" s="6"/>
      <c r="N142" s="6">
        <v>2400</v>
      </c>
      <c r="O142" s="6">
        <v>2200</v>
      </c>
      <c r="Q142" s="6">
        <v>2344</v>
      </c>
      <c r="R142" s="6">
        <v>2000</v>
      </c>
    </row>
    <row r="143" spans="1:18" x14ac:dyDescent="0.25">
      <c r="B143" s="1" t="s">
        <v>98</v>
      </c>
      <c r="D143" s="100">
        <v>1</v>
      </c>
      <c r="E143" s="79">
        <f t="shared" si="65"/>
        <v>3100</v>
      </c>
      <c r="F143" s="71"/>
      <c r="G143" s="71">
        <v>3100</v>
      </c>
      <c r="K143" s="6">
        <v>3163.5</v>
      </c>
      <c r="L143" s="6">
        <v>3163.5</v>
      </c>
      <c r="M143" s="6"/>
      <c r="N143" s="6">
        <v>3100</v>
      </c>
      <c r="O143" s="6">
        <v>3100</v>
      </c>
      <c r="Q143" s="6">
        <v>3025</v>
      </c>
      <c r="R143" s="6">
        <v>2900</v>
      </c>
    </row>
    <row r="144" spans="1:18" s="5" customFormat="1" x14ac:dyDescent="0.25">
      <c r="A144" s="36" t="s">
        <v>99</v>
      </c>
      <c r="B144" s="36"/>
      <c r="C144" s="36"/>
      <c r="D144" s="97"/>
      <c r="E144" s="81">
        <f t="shared" ref="E144:F144" si="66">SUM(E137:E143)</f>
        <v>6579.16</v>
      </c>
      <c r="F144" s="81">
        <f t="shared" si="66"/>
        <v>0</v>
      </c>
      <c r="G144" s="81">
        <f>SUM(G137:G143)</f>
        <v>43150</v>
      </c>
      <c r="K144" s="36">
        <f>SUM(K137:K143)</f>
        <v>45356.369999999995</v>
      </c>
      <c r="L144" s="36">
        <f>SUM(L137:L143)</f>
        <v>41263.520000000004</v>
      </c>
      <c r="M144" s="36"/>
      <c r="N144" s="36">
        <f>SUM(N137:N143)</f>
        <v>42000</v>
      </c>
      <c r="O144" s="36">
        <f>SUM(O137:O143)</f>
        <v>38825</v>
      </c>
      <c r="Q144" s="36">
        <f>SUM(Q137:Q143)</f>
        <v>39434</v>
      </c>
      <c r="R144" s="36">
        <f>SUM(R137:R143)</f>
        <v>39350</v>
      </c>
    </row>
    <row r="145" spans="1:18" s="5" customFormat="1" ht="6.75" customHeight="1" x14ac:dyDescent="0.25">
      <c r="A145" s="22"/>
      <c r="B145" s="22"/>
      <c r="C145" s="22"/>
      <c r="D145" s="92"/>
      <c r="E145" s="74"/>
      <c r="F145" s="74"/>
      <c r="G145" s="74"/>
      <c r="K145" s="22"/>
      <c r="L145" s="22"/>
      <c r="M145" s="22"/>
      <c r="N145" s="22"/>
      <c r="O145" s="22"/>
      <c r="Q145" s="22"/>
      <c r="R145" s="22"/>
    </row>
    <row r="146" spans="1:18" x14ac:dyDescent="0.25">
      <c r="A146" s="5" t="s">
        <v>100</v>
      </c>
    </row>
    <row r="147" spans="1:18" x14ac:dyDescent="0.25">
      <c r="B147" s="1" t="s">
        <v>101</v>
      </c>
      <c r="D147" s="100">
        <v>4</v>
      </c>
      <c r="E147" s="79">
        <f t="shared" ref="E147:E154" si="67">ROUND(+$G147/$D147,2)</f>
        <v>3000</v>
      </c>
      <c r="F147" s="71"/>
      <c r="G147" s="71">
        <v>12000</v>
      </c>
      <c r="K147" s="6">
        <v>9766.41</v>
      </c>
      <c r="L147" s="6">
        <v>9766.41</v>
      </c>
      <c r="M147" s="6"/>
      <c r="N147" s="6">
        <v>11000</v>
      </c>
      <c r="O147" s="6">
        <v>11000</v>
      </c>
      <c r="Q147" s="6">
        <v>10182</v>
      </c>
      <c r="R147" s="6">
        <v>9500</v>
      </c>
    </row>
    <row r="148" spans="1:18" x14ac:dyDescent="0.25">
      <c r="B148" s="1" t="s">
        <v>102</v>
      </c>
      <c r="D148" s="100">
        <v>5</v>
      </c>
      <c r="E148" s="79">
        <f t="shared" si="67"/>
        <v>1000</v>
      </c>
      <c r="F148" s="71"/>
      <c r="G148" s="71">
        <v>5000</v>
      </c>
      <c r="K148" s="6">
        <v>5700.25</v>
      </c>
      <c r="L148" s="6">
        <v>5650.25</v>
      </c>
      <c r="M148" s="6"/>
      <c r="N148" s="6">
        <v>5000</v>
      </c>
      <c r="O148" s="6">
        <v>4000</v>
      </c>
      <c r="Q148" s="6">
        <v>5938</v>
      </c>
      <c r="R148" s="6">
        <v>5000</v>
      </c>
    </row>
    <row r="149" spans="1:18" x14ac:dyDescent="0.25">
      <c r="B149" s="1" t="s">
        <v>103</v>
      </c>
      <c r="D149" s="101">
        <f t="shared" ref="D149:D154" si="68">+D$16</f>
        <v>12</v>
      </c>
      <c r="E149" s="79">
        <f t="shared" si="67"/>
        <v>208.33</v>
      </c>
      <c r="F149" s="71"/>
      <c r="G149" s="71">
        <v>2500</v>
      </c>
      <c r="K149" s="6">
        <v>2729.37</v>
      </c>
      <c r="L149" s="6">
        <v>2054.81</v>
      </c>
      <c r="M149" s="6"/>
      <c r="N149" s="6">
        <v>3000</v>
      </c>
      <c r="O149" s="6">
        <v>2750</v>
      </c>
      <c r="Q149" s="6">
        <v>2996</v>
      </c>
      <c r="R149" s="6">
        <v>3500</v>
      </c>
    </row>
    <row r="150" spans="1:18" ht="28.5" customHeight="1" x14ac:dyDescent="0.25">
      <c r="B150" s="223" t="s">
        <v>129</v>
      </c>
      <c r="C150" s="223"/>
      <c r="D150" s="101">
        <f t="shared" si="68"/>
        <v>12</v>
      </c>
      <c r="E150" s="79">
        <f t="shared" si="67"/>
        <v>225</v>
      </c>
      <c r="F150" s="71"/>
      <c r="G150" s="71">
        <v>2700</v>
      </c>
      <c r="K150" s="6">
        <v>2907.05</v>
      </c>
      <c r="L150" s="6">
        <v>2749.08</v>
      </c>
      <c r="M150" s="6"/>
      <c r="N150" s="6">
        <v>3000</v>
      </c>
      <c r="O150" s="6">
        <v>2750</v>
      </c>
      <c r="Q150" s="6">
        <v>2796</v>
      </c>
      <c r="R150" s="6">
        <v>2500</v>
      </c>
    </row>
    <row r="151" spans="1:18" x14ac:dyDescent="0.25">
      <c r="B151" s="1" t="s">
        <v>104</v>
      </c>
      <c r="D151" s="101">
        <f t="shared" si="68"/>
        <v>12</v>
      </c>
      <c r="E151" s="79">
        <f t="shared" si="67"/>
        <v>583.33000000000004</v>
      </c>
      <c r="F151" s="71"/>
      <c r="G151" s="71">
        <v>7000</v>
      </c>
      <c r="K151" s="6">
        <v>10582.63</v>
      </c>
      <c r="L151" s="6">
        <v>7947.63</v>
      </c>
      <c r="M151" s="6"/>
      <c r="N151" s="6">
        <v>6000</v>
      </c>
      <c r="O151" s="6">
        <v>5500</v>
      </c>
      <c r="Q151" s="6">
        <v>5158</v>
      </c>
      <c r="R151" s="6">
        <v>6000</v>
      </c>
    </row>
    <row r="152" spans="1:18" x14ac:dyDescent="0.25">
      <c r="B152" s="1" t="s">
        <v>105</v>
      </c>
      <c r="D152" s="101">
        <f t="shared" si="68"/>
        <v>12</v>
      </c>
      <c r="E152" s="79">
        <f t="shared" si="67"/>
        <v>0</v>
      </c>
      <c r="F152" s="71"/>
      <c r="G152" s="71">
        <v>0</v>
      </c>
      <c r="K152" s="6">
        <v>0</v>
      </c>
      <c r="L152" s="6">
        <v>0</v>
      </c>
      <c r="M152" s="6"/>
      <c r="N152" s="6">
        <v>0</v>
      </c>
      <c r="O152" s="6">
        <v>0</v>
      </c>
      <c r="Q152" s="6">
        <v>131</v>
      </c>
      <c r="R152" s="6">
        <v>0</v>
      </c>
    </row>
    <row r="153" spans="1:18" x14ac:dyDescent="0.25">
      <c r="B153" s="1" t="s">
        <v>107</v>
      </c>
      <c r="D153" s="101">
        <f t="shared" si="68"/>
        <v>12</v>
      </c>
      <c r="E153" s="79">
        <f t="shared" si="67"/>
        <v>4575</v>
      </c>
      <c r="F153" s="71"/>
      <c r="G153" s="71">
        <v>54900</v>
      </c>
      <c r="K153" s="6">
        <v>54876</v>
      </c>
      <c r="L153" s="6">
        <v>50303</v>
      </c>
      <c r="M153" s="6"/>
      <c r="N153" s="6">
        <v>54900</v>
      </c>
      <c r="O153" s="6">
        <v>50325</v>
      </c>
      <c r="Q153" s="6">
        <v>55793</v>
      </c>
      <c r="R153" s="6">
        <v>56500</v>
      </c>
    </row>
    <row r="154" spans="1:18" x14ac:dyDescent="0.25">
      <c r="B154" s="1" t="s">
        <v>106</v>
      </c>
      <c r="D154" s="101">
        <f t="shared" si="68"/>
        <v>12</v>
      </c>
      <c r="E154" s="79">
        <f t="shared" si="67"/>
        <v>116.67</v>
      </c>
      <c r="F154" s="71"/>
      <c r="G154" s="71">
        <v>1400</v>
      </c>
      <c r="K154" s="6">
        <v>962.46</v>
      </c>
      <c r="L154" s="6">
        <v>908.96</v>
      </c>
      <c r="M154" s="6"/>
      <c r="N154" s="6">
        <v>1600</v>
      </c>
      <c r="O154" s="6">
        <v>1466.63</v>
      </c>
      <c r="Q154" s="6">
        <v>524</v>
      </c>
      <c r="R154" s="6">
        <v>0</v>
      </c>
    </row>
    <row r="155" spans="1:18" s="5" customFormat="1" x14ac:dyDescent="0.25">
      <c r="A155" s="36" t="s">
        <v>108</v>
      </c>
      <c r="B155" s="36"/>
      <c r="C155" s="36"/>
      <c r="D155" s="97"/>
      <c r="E155" s="81">
        <f t="shared" ref="E155:F155" si="69">SUM(E147:E154)</f>
        <v>9708.33</v>
      </c>
      <c r="F155" s="81">
        <f t="shared" si="69"/>
        <v>0</v>
      </c>
      <c r="G155" s="81">
        <f>SUM(G147:G154)</f>
        <v>85500</v>
      </c>
      <c r="K155" s="36">
        <f>SUM(K147:K154)</f>
        <v>87524.17</v>
      </c>
      <c r="L155" s="36">
        <f>SUM(L147:L154)</f>
        <v>79380.140000000014</v>
      </c>
      <c r="M155" s="36"/>
      <c r="N155" s="36">
        <f>SUM(N147:N154)</f>
        <v>84500</v>
      </c>
      <c r="O155" s="36">
        <f>SUM(O147:O154)</f>
        <v>77791.63</v>
      </c>
      <c r="Q155" s="36">
        <f>SUM(Q147:Q154)</f>
        <v>83518</v>
      </c>
      <c r="R155" s="36">
        <f>SUM(R147:R154)</f>
        <v>83000</v>
      </c>
    </row>
    <row r="156" spans="1:18" x14ac:dyDescent="0.25">
      <c r="A156" s="36" t="s">
        <v>109</v>
      </c>
      <c r="B156" s="36"/>
      <c r="C156" s="36"/>
      <c r="D156" s="97"/>
      <c r="E156" s="81">
        <f t="shared" ref="E156:F156" si="70">+E144+E155</f>
        <v>16287.49</v>
      </c>
      <c r="F156" s="81">
        <f t="shared" si="70"/>
        <v>0</v>
      </c>
      <c r="G156" s="81">
        <f>+G144+G155</f>
        <v>128650</v>
      </c>
      <c r="K156" s="36">
        <f t="shared" ref="K156:L156" si="71">+K144+K155</f>
        <v>132880.53999999998</v>
      </c>
      <c r="L156" s="36">
        <f t="shared" si="71"/>
        <v>120643.66000000002</v>
      </c>
      <c r="M156" s="36"/>
      <c r="N156" s="36">
        <f>+N144+N155</f>
        <v>126500</v>
      </c>
      <c r="O156" s="36">
        <f>+O144+O155</f>
        <v>116616.63</v>
      </c>
      <c r="Q156" s="36">
        <f t="shared" ref="Q156:R156" si="72">+Q144+Q155</f>
        <v>122952</v>
      </c>
      <c r="R156" s="36">
        <f t="shared" si="72"/>
        <v>122350</v>
      </c>
    </row>
    <row r="157" spans="1:18" ht="4.5" customHeight="1" x14ac:dyDescent="0.25"/>
    <row r="158" spans="1:18" ht="18.75" x14ac:dyDescent="0.25">
      <c r="A158" s="11" t="s">
        <v>110</v>
      </c>
    </row>
    <row r="159" spans="1:18" x14ac:dyDescent="0.25">
      <c r="A159" s="5" t="s">
        <v>111</v>
      </c>
    </row>
    <row r="160" spans="1:18" x14ac:dyDescent="0.25">
      <c r="B160" s="1" t="s">
        <v>112</v>
      </c>
      <c r="D160" s="101"/>
      <c r="E160" s="71">
        <v>0</v>
      </c>
      <c r="F160" s="71"/>
      <c r="G160" s="71">
        <v>0</v>
      </c>
      <c r="K160" s="6">
        <v>0</v>
      </c>
      <c r="L160" s="6">
        <v>0</v>
      </c>
      <c r="M160" s="6"/>
      <c r="N160" s="6">
        <v>0</v>
      </c>
      <c r="O160" s="6">
        <v>0</v>
      </c>
      <c r="Q160" s="6">
        <v>0</v>
      </c>
      <c r="R160" s="6">
        <v>0</v>
      </c>
    </row>
    <row r="161" spans="1:18" x14ac:dyDescent="0.25">
      <c r="B161" s="1" t="s">
        <v>113</v>
      </c>
      <c r="D161" s="101"/>
      <c r="E161" s="71">
        <v>0</v>
      </c>
      <c r="F161" s="71"/>
      <c r="G161" s="71">
        <v>5000</v>
      </c>
      <c r="K161" s="6">
        <v>3750</v>
      </c>
      <c r="L161" s="6">
        <v>3750</v>
      </c>
      <c r="M161" s="6"/>
      <c r="N161" s="6">
        <v>5000</v>
      </c>
      <c r="O161" s="6">
        <v>4583.37</v>
      </c>
      <c r="Q161" s="6">
        <v>4886</v>
      </c>
      <c r="R161" s="6">
        <v>1000</v>
      </c>
    </row>
    <row r="162" spans="1:18" x14ac:dyDescent="0.25">
      <c r="B162" s="1" t="s">
        <v>114</v>
      </c>
      <c r="D162" s="101"/>
      <c r="E162" s="71">
        <v>0</v>
      </c>
      <c r="F162" s="71"/>
      <c r="G162" s="71">
        <v>0</v>
      </c>
      <c r="K162" s="6">
        <v>0</v>
      </c>
      <c r="L162" s="6">
        <v>0</v>
      </c>
      <c r="M162" s="6"/>
      <c r="N162" s="6">
        <v>0</v>
      </c>
      <c r="O162" s="6">
        <v>0</v>
      </c>
      <c r="Q162" s="6">
        <v>6500</v>
      </c>
      <c r="R162" s="6">
        <v>0</v>
      </c>
    </row>
    <row r="163" spans="1:18" x14ac:dyDescent="0.25">
      <c r="B163" s="1" t="s">
        <v>115</v>
      </c>
      <c r="D163" s="101">
        <f t="shared" ref="D163" si="73">+D$16</f>
        <v>12</v>
      </c>
      <c r="E163" s="79">
        <f t="shared" ref="E163" si="74">ROUND(+$G163/$D163,2)</f>
        <v>416.67</v>
      </c>
      <c r="F163" s="71"/>
      <c r="G163" s="71">
        <v>5000</v>
      </c>
      <c r="K163" s="6">
        <v>5450</v>
      </c>
      <c r="L163" s="6">
        <v>10450</v>
      </c>
      <c r="M163" s="6"/>
      <c r="N163" s="6">
        <v>5000</v>
      </c>
      <c r="O163" s="6">
        <v>4583.37</v>
      </c>
      <c r="Q163" s="6">
        <v>0</v>
      </c>
      <c r="R163" s="6">
        <v>0</v>
      </c>
    </row>
    <row r="164" spans="1:18" s="5" customFormat="1" x14ac:dyDescent="0.25">
      <c r="A164" s="38" t="s">
        <v>116</v>
      </c>
      <c r="B164" s="38"/>
      <c r="C164" s="38"/>
      <c r="D164" s="98"/>
      <c r="E164" s="82">
        <f t="shared" ref="E164:F164" si="75">SUM(E160:E163)</f>
        <v>416.67</v>
      </c>
      <c r="F164" s="82">
        <f t="shared" si="75"/>
        <v>0</v>
      </c>
      <c r="G164" s="82">
        <f>SUM(G160:G163)</f>
        <v>10000</v>
      </c>
      <c r="K164" s="38">
        <f>SUM(K160:K163)</f>
        <v>9200</v>
      </c>
      <c r="L164" s="38">
        <f>SUM(L160:L163)</f>
        <v>14200</v>
      </c>
      <c r="M164" s="38"/>
      <c r="N164" s="38">
        <f>SUM(N160:N163)</f>
        <v>10000</v>
      </c>
      <c r="O164" s="38">
        <f>SUM(O160:O163)</f>
        <v>9166.74</v>
      </c>
      <c r="Q164" s="38">
        <f>SUM(Q160:Q163)</f>
        <v>11386</v>
      </c>
      <c r="R164" s="38">
        <f>SUM(R160:R163)</f>
        <v>1000</v>
      </c>
    </row>
    <row r="165" spans="1:18" ht="7.5" customHeight="1" x14ac:dyDescent="0.25"/>
    <row r="166" spans="1:18" x14ac:dyDescent="0.25">
      <c r="A166" s="40" t="s">
        <v>117</v>
      </c>
      <c r="B166" s="41"/>
      <c r="C166" s="41"/>
      <c r="D166" s="99"/>
      <c r="E166" s="83">
        <f t="shared" ref="E166:F166" si="76">+E82+E133+E156+E164+E31</f>
        <v>49779.429999999993</v>
      </c>
      <c r="F166" s="83">
        <f t="shared" si="76"/>
        <v>0</v>
      </c>
      <c r="G166" s="83">
        <f>+G82+G133+G156+G164+G31</f>
        <v>572505</v>
      </c>
      <c r="K166" s="40">
        <f>+K82+K133+K156+K164+K31</f>
        <v>577445.49</v>
      </c>
      <c r="L166" s="40">
        <f>+L82+L133+L156+L164+L31</f>
        <v>533020.59</v>
      </c>
      <c r="M166" s="40"/>
      <c r="N166" s="40">
        <f>+N82+N133+N156+N164+N31</f>
        <v>578306</v>
      </c>
      <c r="O166" s="40">
        <f>+O82+O133+O156+O164+O31</f>
        <v>527848.47</v>
      </c>
      <c r="Q166" s="40">
        <f>+Q82+Q133+Q156+Q164+Q31</f>
        <v>564589</v>
      </c>
      <c r="R166" s="40">
        <f>+R82+R133+R156+R164+R31</f>
        <v>547047</v>
      </c>
    </row>
    <row r="167" spans="1:18" x14ac:dyDescent="0.25">
      <c r="A167" s="40" t="s">
        <v>118</v>
      </c>
      <c r="B167" s="41"/>
      <c r="C167" s="41"/>
      <c r="D167" s="99"/>
      <c r="E167" s="83">
        <f t="shared" ref="E167:F167" si="77">+E22-E166</f>
        <v>48725.08</v>
      </c>
      <c r="F167" s="83">
        <f t="shared" si="77"/>
        <v>0</v>
      </c>
      <c r="G167" s="83">
        <f>+G22-G166</f>
        <v>0</v>
      </c>
      <c r="K167" s="40">
        <f>+K22-K166</f>
        <v>0</v>
      </c>
      <c r="L167" s="40">
        <f>+L22-L166</f>
        <v>545.29000000003725</v>
      </c>
      <c r="M167" s="40"/>
      <c r="N167" s="40">
        <f>+N22-N166</f>
        <v>694</v>
      </c>
      <c r="O167" s="40">
        <f>+O22-O166</f>
        <v>9496.6700000000419</v>
      </c>
      <c r="Q167" s="40">
        <f>+Q22-Q166</f>
        <v>5663</v>
      </c>
      <c r="R167" s="40">
        <f>+R22-R166</f>
        <v>2853</v>
      </c>
    </row>
  </sheetData>
  <mergeCells count="7">
    <mergeCell ref="N3:O3"/>
    <mergeCell ref="Q3:R3"/>
    <mergeCell ref="B150:C150"/>
    <mergeCell ref="A1:I1"/>
    <mergeCell ref="A2:I2"/>
    <mergeCell ref="E3:G3"/>
    <mergeCell ref="K3:L3"/>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5"/>
  <sheetViews>
    <sheetView workbookViewId="0">
      <selection activeCell="A4" sqref="A4:B15"/>
    </sheetView>
  </sheetViews>
  <sheetFormatPr defaultRowHeight="15" x14ac:dyDescent="0.25"/>
  <sheetData>
    <row r="4" spans="1:2" x14ac:dyDescent="0.25">
      <c r="A4">
        <v>1</v>
      </c>
      <c r="B4" t="s">
        <v>166</v>
      </c>
    </row>
    <row r="5" spans="1:2" x14ac:dyDescent="0.25">
      <c r="A5">
        <v>2</v>
      </c>
      <c r="B5" t="s">
        <v>168</v>
      </c>
    </row>
    <row r="6" spans="1:2" x14ac:dyDescent="0.25">
      <c r="A6">
        <v>3</v>
      </c>
      <c r="B6" t="s">
        <v>169</v>
      </c>
    </row>
    <row r="7" spans="1:2" x14ac:dyDescent="0.25">
      <c r="A7">
        <v>4</v>
      </c>
      <c r="B7" t="s">
        <v>170</v>
      </c>
    </row>
    <row r="8" spans="1:2" x14ac:dyDescent="0.25">
      <c r="A8">
        <v>5</v>
      </c>
      <c r="B8" t="s">
        <v>171</v>
      </c>
    </row>
    <row r="9" spans="1:2" x14ac:dyDescent="0.25">
      <c r="A9">
        <v>6</v>
      </c>
      <c r="B9" t="s">
        <v>172</v>
      </c>
    </row>
    <row r="10" spans="1:2" x14ac:dyDescent="0.25">
      <c r="A10">
        <v>7</v>
      </c>
      <c r="B10" t="s">
        <v>173</v>
      </c>
    </row>
    <row r="11" spans="1:2" x14ac:dyDescent="0.25">
      <c r="A11">
        <v>8</v>
      </c>
      <c r="B11" t="s">
        <v>174</v>
      </c>
    </row>
    <row r="12" spans="1:2" x14ac:dyDescent="0.25">
      <c r="A12">
        <v>9</v>
      </c>
      <c r="B12" t="s">
        <v>175</v>
      </c>
    </row>
    <row r="13" spans="1:2" x14ac:dyDescent="0.25">
      <c r="A13">
        <v>10</v>
      </c>
      <c r="B13" t="s">
        <v>176</v>
      </c>
    </row>
    <row r="14" spans="1:2" x14ac:dyDescent="0.25">
      <c r="A14">
        <v>11</v>
      </c>
      <c r="B14" t="s">
        <v>177</v>
      </c>
    </row>
    <row r="15" spans="1:2" x14ac:dyDescent="0.25">
      <c r="A15">
        <v>12</v>
      </c>
      <c r="B15" t="s">
        <v>178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89"/>
  <sheetViews>
    <sheetView showGridLines="0" tabSelected="1" topLeftCell="B1" zoomScaleNormal="100" workbookViewId="0">
      <selection activeCell="D4" sqref="D4"/>
    </sheetView>
  </sheetViews>
  <sheetFormatPr defaultRowHeight="15" x14ac:dyDescent="0.25"/>
  <cols>
    <col min="1" max="1" width="4.42578125" style="106" hidden="1" customWidth="1"/>
    <col min="2" max="2" width="4.28515625" style="5" customWidth="1"/>
    <col min="3" max="3" width="9.140625" style="1"/>
    <col min="4" max="4" width="24.7109375" style="1" customWidth="1"/>
    <col min="5" max="5" width="48.42578125" style="1" hidden="1" customWidth="1"/>
    <col min="6" max="6" width="10.5703125" style="1" hidden="1" customWidth="1"/>
    <col min="7" max="8" width="12.140625" style="1" customWidth="1"/>
    <col min="9" max="9" width="12.5703125" style="1" customWidth="1"/>
    <col min="10" max="10" width="12.5703125" style="1" bestFit="1" customWidth="1"/>
    <col min="11" max="11" width="11.85546875" style="8" customWidth="1"/>
    <col min="12" max="13" width="11.85546875" style="66" customWidth="1"/>
    <col min="14" max="14" width="4.5703125" style="1" customWidth="1"/>
    <col min="15" max="15" width="12.5703125" style="1" bestFit="1" customWidth="1"/>
    <col min="16" max="16" width="11.7109375" style="1" customWidth="1"/>
    <col min="17" max="17" width="10" style="8" bestFit="1" customWidth="1"/>
    <col min="18" max="18" width="34.7109375" style="9" customWidth="1"/>
    <col min="19" max="19" width="10" style="1" bestFit="1" customWidth="1"/>
    <col min="20" max="20" width="11.5703125" style="1" bestFit="1" customWidth="1"/>
    <col min="21" max="22" width="9.140625" style="1"/>
    <col min="23" max="23" width="9.5703125" style="1" bestFit="1" customWidth="1"/>
    <col min="24" max="16384" width="9.140625" style="1"/>
  </cols>
  <sheetData>
    <row r="1" spans="1:18" ht="41.25" customHeight="1" x14ac:dyDescent="0.25">
      <c r="B1" s="227" t="s">
        <v>123</v>
      </c>
      <c r="C1" s="227"/>
      <c r="D1" s="227"/>
      <c r="E1" s="227"/>
      <c r="F1" s="227"/>
      <c r="G1" s="227"/>
      <c r="H1" s="227"/>
      <c r="I1" s="227"/>
      <c r="J1" s="227"/>
      <c r="K1" s="227"/>
      <c r="L1" s="227"/>
      <c r="M1" s="227"/>
      <c r="N1" s="227"/>
      <c r="O1" s="227"/>
      <c r="P1" s="227"/>
      <c r="Q1" s="227"/>
      <c r="R1" s="227"/>
    </row>
    <row r="2" spans="1:18" ht="8.25" customHeight="1" x14ac:dyDescent="0.25">
      <c r="B2" s="228"/>
      <c r="C2" s="228"/>
      <c r="D2" s="228"/>
      <c r="E2" s="228"/>
      <c r="F2" s="228"/>
      <c r="G2" s="228"/>
      <c r="H2" s="228"/>
      <c r="I2" s="228"/>
      <c r="J2" s="228"/>
      <c r="K2" s="228"/>
      <c r="L2" s="228"/>
      <c r="M2" s="228"/>
      <c r="N2" s="228"/>
      <c r="O2" s="228"/>
      <c r="P2" s="228"/>
      <c r="Q2" s="228"/>
      <c r="R2" s="228"/>
    </row>
    <row r="3" spans="1:18" ht="23.25" customHeight="1" x14ac:dyDescent="0.25">
      <c r="G3" s="229" t="s">
        <v>121</v>
      </c>
      <c r="H3" s="230"/>
      <c r="I3" s="230"/>
      <c r="J3" s="230"/>
      <c r="K3" s="230"/>
      <c r="L3" s="230"/>
      <c r="M3" s="231"/>
      <c r="O3" s="224" t="s">
        <v>268</v>
      </c>
      <c r="P3" s="225"/>
      <c r="Q3" s="226"/>
    </row>
    <row r="4" spans="1:18" s="5" customFormat="1" ht="53.25" customHeight="1" x14ac:dyDescent="0.25">
      <c r="A4" s="107"/>
      <c r="G4" s="203" t="s">
        <v>263</v>
      </c>
      <c r="H4" s="68" t="s">
        <v>229</v>
      </c>
      <c r="I4" s="68" t="s">
        <v>262</v>
      </c>
      <c r="J4" s="68" t="s">
        <v>265</v>
      </c>
      <c r="K4" s="68" t="s">
        <v>264</v>
      </c>
      <c r="L4" s="68" t="s">
        <v>266</v>
      </c>
      <c r="M4" s="204" t="s">
        <v>267</v>
      </c>
      <c r="O4" s="2" t="str">
        <f>+'YTD Report'!F3&amp;" "&amp;'YTD Report'!F4</f>
        <v>October YTD Actual</v>
      </c>
      <c r="P4" s="3" t="str">
        <f>+'YTD Report'!F3&amp;" "&amp;'YTD Report'!G4</f>
        <v>October YTD Budget</v>
      </c>
      <c r="Q4" s="4" t="s">
        <v>120</v>
      </c>
      <c r="R4" s="10" t="s">
        <v>228</v>
      </c>
    </row>
    <row r="5" spans="1:18" s="5" customFormat="1" ht="18.75" x14ac:dyDescent="0.25">
      <c r="A5" s="107"/>
      <c r="B5" s="11" t="s">
        <v>0</v>
      </c>
      <c r="G5" s="12"/>
      <c r="H5" s="13"/>
      <c r="I5" s="13"/>
      <c r="J5" s="13"/>
      <c r="K5" s="13"/>
      <c r="L5" s="67"/>
      <c r="M5" s="67"/>
      <c r="O5" s="13"/>
      <c r="P5" s="13"/>
      <c r="Q5" s="13"/>
      <c r="R5" s="14"/>
    </row>
    <row r="6" spans="1:18" x14ac:dyDescent="0.25">
      <c r="A6" s="106">
        <v>1</v>
      </c>
      <c r="B6" s="5" t="s">
        <v>1</v>
      </c>
      <c r="L6" s="1"/>
      <c r="M6" s="1"/>
    </row>
    <row r="7" spans="1:18" x14ac:dyDescent="0.25">
      <c r="A7" s="106">
        <v>2</v>
      </c>
      <c r="C7" s="1" t="s">
        <v>1</v>
      </c>
      <c r="G7" s="6">
        <f>+H7*1-7271-728-72-8</f>
        <v>541726</v>
      </c>
      <c r="H7" s="52">
        <f>+'2013 Budget'!AD7</f>
        <v>549805</v>
      </c>
      <c r="I7" s="7">
        <f>IF(H7=0,"NA",(+G7-H7)/H7)</f>
        <v>-1.4694300706614163E-2</v>
      </c>
      <c r="J7" s="52">
        <f>+'Prior Year Actuals'!R7</f>
        <v>492447.24</v>
      </c>
      <c r="K7" s="7">
        <f t="shared" ref="K7:K13" si="0">IF(J7=0,"NA",(+G7-J7)/J7)</f>
        <v>0.10006911603362831</v>
      </c>
      <c r="L7" s="52">
        <f>+'2011 Actuals'!R7</f>
        <v>547524.42999999993</v>
      </c>
      <c r="M7" s="6">
        <v>542338</v>
      </c>
      <c r="O7" s="108">
        <f t="shared" ref="O7:O12" si="1">VLOOKUP($A7,Cur_Actuals,Cur_Month+18)</f>
        <v>453566.68</v>
      </c>
      <c r="P7" s="108">
        <f t="shared" ref="P7:P12" si="2">VLOOKUP($A7,Cur_Budget,Cur_Month+18)</f>
        <v>466154.53</v>
      </c>
      <c r="Q7" s="7">
        <f t="shared" ref="Q7:Q13" si="3">IF(P7=0,"NA",(+O7-P7)/P7)</f>
        <v>-2.7003598999670846E-2</v>
      </c>
    </row>
    <row r="8" spans="1:18" x14ac:dyDescent="0.25">
      <c r="A8" s="106">
        <v>3</v>
      </c>
      <c r="C8" s="1" t="s">
        <v>2</v>
      </c>
      <c r="G8" s="6">
        <v>0</v>
      </c>
      <c r="H8" s="52">
        <f>+'2013 Budget'!AD8</f>
        <v>0</v>
      </c>
      <c r="I8" s="7" t="str">
        <f t="shared" ref="I8:I13" si="4">IF(H8=0,"NA",(+G8-H8)/H8)</f>
        <v>NA</v>
      </c>
      <c r="J8" s="52">
        <f>+'Prior Year Actuals'!R8</f>
        <v>0</v>
      </c>
      <c r="K8" s="7" t="str">
        <f t="shared" si="0"/>
        <v>NA</v>
      </c>
      <c r="L8" s="52">
        <f>+'2011 Actuals'!R8</f>
        <v>196</v>
      </c>
      <c r="M8" s="6">
        <v>1241</v>
      </c>
      <c r="O8" s="108">
        <f t="shared" si="1"/>
        <v>0</v>
      </c>
      <c r="P8" s="108">
        <f t="shared" si="2"/>
        <v>0</v>
      </c>
      <c r="Q8" s="7" t="str">
        <f t="shared" si="3"/>
        <v>NA</v>
      </c>
    </row>
    <row r="9" spans="1:18" x14ac:dyDescent="0.25">
      <c r="A9" s="106">
        <v>4</v>
      </c>
      <c r="C9" s="1" t="s">
        <v>3</v>
      </c>
      <c r="G9" s="6">
        <v>4000</v>
      </c>
      <c r="H9" s="52">
        <f>+'2013 Budget'!AD9</f>
        <v>4000</v>
      </c>
      <c r="I9" s="7">
        <f t="shared" si="4"/>
        <v>0</v>
      </c>
      <c r="J9" s="52">
        <f>+'Prior Year Actuals'!R9</f>
        <v>3157</v>
      </c>
      <c r="K9" s="7">
        <f t="shared" si="0"/>
        <v>0.26702565726955974</v>
      </c>
      <c r="L9" s="52">
        <f>+'2011 Actuals'!R9</f>
        <v>4040.65</v>
      </c>
      <c r="M9" s="6">
        <v>4013</v>
      </c>
      <c r="O9" s="108">
        <f t="shared" si="1"/>
        <v>4532</v>
      </c>
      <c r="P9" s="108">
        <f t="shared" si="2"/>
        <v>4000</v>
      </c>
      <c r="Q9" s="7">
        <f t="shared" si="3"/>
        <v>0.13300000000000001</v>
      </c>
    </row>
    <row r="10" spans="1:18" x14ac:dyDescent="0.25">
      <c r="A10" s="106">
        <v>5</v>
      </c>
      <c r="C10" s="1" t="s">
        <v>4</v>
      </c>
      <c r="G10" s="6">
        <v>1000</v>
      </c>
      <c r="H10" s="52">
        <f>+'2013 Budget'!AD10</f>
        <v>1000</v>
      </c>
      <c r="I10" s="7">
        <f t="shared" si="4"/>
        <v>0</v>
      </c>
      <c r="J10" s="52">
        <f>+'Prior Year Actuals'!R10</f>
        <v>1094</v>
      </c>
      <c r="K10" s="7">
        <f t="shared" si="0"/>
        <v>-8.5923217550274225E-2</v>
      </c>
      <c r="L10" s="52">
        <f>+'2011 Actuals'!R10</f>
        <v>833</v>
      </c>
      <c r="M10" s="6">
        <v>956</v>
      </c>
      <c r="O10" s="108">
        <f t="shared" si="1"/>
        <v>0</v>
      </c>
      <c r="P10" s="108">
        <f t="shared" si="2"/>
        <v>0</v>
      </c>
      <c r="Q10" s="7" t="str">
        <f t="shared" si="3"/>
        <v>NA</v>
      </c>
    </row>
    <row r="11" spans="1:18" x14ac:dyDescent="0.25">
      <c r="A11" s="106">
        <v>6</v>
      </c>
      <c r="C11" s="1" t="s">
        <v>5</v>
      </c>
      <c r="G11" s="6">
        <v>5000</v>
      </c>
      <c r="H11" s="52">
        <f>+'2013 Budget'!AD11</f>
        <v>5000</v>
      </c>
      <c r="I11" s="7">
        <f t="shared" si="4"/>
        <v>0</v>
      </c>
      <c r="J11" s="52">
        <f>+'Prior Year Actuals'!R11</f>
        <v>0</v>
      </c>
      <c r="K11" s="7" t="str">
        <f t="shared" si="0"/>
        <v>NA</v>
      </c>
      <c r="L11" s="52">
        <f>+'2011 Actuals'!R11</f>
        <v>3904</v>
      </c>
      <c r="M11" s="6">
        <v>6111</v>
      </c>
      <c r="O11" s="108">
        <f t="shared" si="1"/>
        <v>0</v>
      </c>
      <c r="P11" s="108">
        <f t="shared" si="2"/>
        <v>0</v>
      </c>
      <c r="Q11" s="7" t="str">
        <f t="shared" si="3"/>
        <v>NA</v>
      </c>
    </row>
    <row r="12" spans="1:18" x14ac:dyDescent="0.25">
      <c r="A12" s="106">
        <v>7</v>
      </c>
      <c r="C12" s="1" t="s">
        <v>6</v>
      </c>
      <c r="G12" s="6">
        <v>2000</v>
      </c>
      <c r="H12" s="52">
        <f>+'2013 Budget'!AD12</f>
        <v>2700</v>
      </c>
      <c r="I12" s="7">
        <f t="shared" si="4"/>
        <v>-0.25925925925925924</v>
      </c>
      <c r="J12" s="52">
        <f>+'Prior Year Actuals'!R12</f>
        <v>3333.66</v>
      </c>
      <c r="K12" s="7">
        <f t="shared" si="0"/>
        <v>-0.40005879423816465</v>
      </c>
      <c r="L12" s="52">
        <f>+'2011 Actuals'!R12</f>
        <v>2409.3599999999997</v>
      </c>
      <c r="M12" s="6">
        <v>2716</v>
      </c>
      <c r="O12" s="108">
        <f t="shared" si="1"/>
        <v>2035.51</v>
      </c>
      <c r="P12" s="108">
        <f t="shared" si="2"/>
        <v>2700</v>
      </c>
      <c r="Q12" s="7">
        <f t="shared" si="3"/>
        <v>-0.24610740740740741</v>
      </c>
    </row>
    <row r="13" spans="1:18" x14ac:dyDescent="0.25">
      <c r="A13" s="106">
        <v>8</v>
      </c>
      <c r="B13" s="15" t="s">
        <v>7</v>
      </c>
      <c r="C13" s="15"/>
      <c r="D13" s="15"/>
      <c r="E13" s="15"/>
      <c r="F13" s="15"/>
      <c r="G13" s="15">
        <f>SUM(G7:G12)</f>
        <v>553726</v>
      </c>
      <c r="H13" s="15">
        <f>SUM(H7:H12)</f>
        <v>562505</v>
      </c>
      <c r="I13" s="16">
        <f t="shared" si="4"/>
        <v>-1.5606972382467712E-2</v>
      </c>
      <c r="J13" s="15">
        <f>SUM(J7:J12)</f>
        <v>500031.89999999997</v>
      </c>
      <c r="K13" s="16">
        <f t="shared" si="0"/>
        <v>0.10738134906992941</v>
      </c>
      <c r="L13" s="15">
        <f>SUM(L7:L12)</f>
        <v>558907.43999999994</v>
      </c>
      <c r="M13" s="15">
        <f>SUM(M7:M12)</f>
        <v>557375</v>
      </c>
      <c r="O13" s="15">
        <f>SUM(O7:O12)</f>
        <v>460134.19</v>
      </c>
      <c r="P13" s="15">
        <f>SUM(P7:P12)</f>
        <v>472854.53</v>
      </c>
      <c r="Q13" s="16">
        <f t="shared" si="3"/>
        <v>-2.6901169795285718E-2</v>
      </c>
    </row>
    <row r="14" spans="1:18" ht="5.25" customHeight="1" x14ac:dyDescent="0.25">
      <c r="A14" s="106">
        <v>9</v>
      </c>
      <c r="I14" s="8"/>
      <c r="L14" s="1"/>
      <c r="M14" s="1"/>
    </row>
    <row r="15" spans="1:18" x14ac:dyDescent="0.25">
      <c r="A15" s="106">
        <v>10</v>
      </c>
      <c r="B15" s="5" t="s">
        <v>8</v>
      </c>
      <c r="I15" s="8"/>
      <c r="L15" s="1"/>
      <c r="M15" s="1"/>
    </row>
    <row r="16" spans="1:18" x14ac:dyDescent="0.25">
      <c r="A16" s="106">
        <v>11</v>
      </c>
      <c r="C16" s="1" t="s">
        <v>9</v>
      </c>
      <c r="G16" s="6">
        <v>7500</v>
      </c>
      <c r="H16" s="52">
        <f>+'2013 Budget'!AD16</f>
        <v>9999.9600000000009</v>
      </c>
      <c r="I16" s="7">
        <f t="shared" ref="I16:I22" si="5">IF(H16=0,"NA",(+G16-H16)/H16)</f>
        <v>-0.24999699998800001</v>
      </c>
      <c r="J16" s="52">
        <f>+'Prior Year Actuals'!R16</f>
        <v>6773.9600000000009</v>
      </c>
      <c r="K16" s="7">
        <f t="shared" ref="K16:K22" si="6">IF(J16=0,"NA",(+G16-J16)/J16)</f>
        <v>0.1071810285268881</v>
      </c>
      <c r="L16" s="52">
        <f>+'2011 Actuals'!R16</f>
        <v>10152.219999999999</v>
      </c>
      <c r="M16" s="6">
        <v>10734</v>
      </c>
      <c r="O16" s="108">
        <f>VLOOKUP($A16,Cur_Actuals,Cur_Month+18)</f>
        <v>5123.95</v>
      </c>
      <c r="P16" s="108">
        <f t="shared" ref="P16:P20" si="7">VLOOKUP($A16,Cur_Budget,Cur_Month+18)</f>
        <v>8333.3000000000011</v>
      </c>
      <c r="Q16" s="7">
        <f t="shared" ref="Q16:Q22" si="8">IF(P16=0,"NA",(+O16-P16)/P16)</f>
        <v>-0.38512354049416209</v>
      </c>
      <c r="R16" s="17"/>
    </row>
    <row r="17" spans="1:18" x14ac:dyDescent="0.25">
      <c r="A17" s="106">
        <v>12</v>
      </c>
      <c r="C17" s="1" t="s">
        <v>8</v>
      </c>
      <c r="G17" s="6">
        <v>0</v>
      </c>
      <c r="H17" s="52">
        <f>+'2013 Budget'!AD17</f>
        <v>0</v>
      </c>
      <c r="I17" s="7" t="str">
        <f t="shared" si="5"/>
        <v>NA</v>
      </c>
      <c r="J17" s="52">
        <f>+'Prior Year Actuals'!R17</f>
        <v>2362.79</v>
      </c>
      <c r="K17" s="7">
        <f t="shared" si="6"/>
        <v>-1</v>
      </c>
      <c r="L17" s="52">
        <f>+'2011 Actuals'!R17</f>
        <v>7668.6399999999994</v>
      </c>
      <c r="M17" s="6">
        <v>2135</v>
      </c>
      <c r="O17" s="108">
        <f>VLOOKUP($A17,Cur_Actuals,Cur_Month+18)</f>
        <v>5209</v>
      </c>
      <c r="P17" s="108">
        <f t="shared" si="7"/>
        <v>0</v>
      </c>
      <c r="Q17" s="7" t="str">
        <f t="shared" si="8"/>
        <v>NA</v>
      </c>
    </row>
    <row r="18" spans="1:18" x14ac:dyDescent="0.25">
      <c r="A18" s="106">
        <v>13</v>
      </c>
      <c r="C18" s="1" t="s">
        <v>10</v>
      </c>
      <c r="G18" s="6">
        <v>0</v>
      </c>
      <c r="H18" s="52">
        <f>+'2013 Budget'!AD18</f>
        <v>0</v>
      </c>
      <c r="I18" s="7" t="str">
        <f t="shared" si="5"/>
        <v>NA</v>
      </c>
      <c r="J18" s="52">
        <f>+'Prior Year Actuals'!R18</f>
        <v>0</v>
      </c>
      <c r="K18" s="7" t="str">
        <f t="shared" si="6"/>
        <v>NA</v>
      </c>
      <c r="L18" s="52">
        <f>+'2011 Actuals'!R18</f>
        <v>699</v>
      </c>
      <c r="M18" s="6"/>
      <c r="O18" s="108">
        <f>VLOOKUP($A18,Cur_Actuals,Cur_Month+18)</f>
        <v>0</v>
      </c>
      <c r="P18" s="108">
        <f t="shared" si="7"/>
        <v>0</v>
      </c>
      <c r="Q18" s="7" t="str">
        <f t="shared" si="8"/>
        <v>NA</v>
      </c>
    </row>
    <row r="19" spans="1:18" x14ac:dyDescent="0.25">
      <c r="A19" s="106">
        <v>14</v>
      </c>
      <c r="C19" s="1" t="s">
        <v>12</v>
      </c>
      <c r="G19" s="6">
        <v>0</v>
      </c>
      <c r="H19" s="52">
        <f>+'2013 Budget'!AD19</f>
        <v>0</v>
      </c>
      <c r="I19" s="7" t="str">
        <f t="shared" si="5"/>
        <v>NA</v>
      </c>
      <c r="J19" s="52">
        <f>+'Prior Year Actuals'!R19</f>
        <v>3.6900000000000004</v>
      </c>
      <c r="K19" s="7">
        <f t="shared" si="6"/>
        <v>-1</v>
      </c>
      <c r="L19" s="52">
        <f>+'2011 Actuals'!R19</f>
        <v>18.189999999999998</v>
      </c>
      <c r="M19" s="6">
        <v>8</v>
      </c>
      <c r="O19" s="108">
        <f>VLOOKUP($A19,Cur_Actuals,Cur_Month+18)</f>
        <v>3.69</v>
      </c>
      <c r="P19" s="108">
        <f t="shared" si="7"/>
        <v>0</v>
      </c>
      <c r="Q19" s="7" t="str">
        <f t="shared" si="8"/>
        <v>NA</v>
      </c>
    </row>
    <row r="20" spans="1:18" x14ac:dyDescent="0.25">
      <c r="A20" s="106">
        <v>15</v>
      </c>
      <c r="C20" s="1" t="s">
        <v>142</v>
      </c>
      <c r="G20" s="6">
        <v>0</v>
      </c>
      <c r="H20" s="52">
        <f>+'2013 Budget'!AD20</f>
        <v>0</v>
      </c>
      <c r="I20" s="7" t="str">
        <f t="shared" si="5"/>
        <v>NA</v>
      </c>
      <c r="J20" s="52">
        <f>+'Prior Year Actuals'!R20</f>
        <v>0</v>
      </c>
      <c r="K20" s="7" t="str">
        <f t="shared" si="6"/>
        <v>NA</v>
      </c>
      <c r="L20" s="52">
        <f>+'2011 Actuals'!R20</f>
        <v>0</v>
      </c>
      <c r="M20" s="6">
        <v>0</v>
      </c>
      <c r="O20" s="108">
        <f>VLOOKUP($A20,Cur_Actuals,Cur_Month+18)</f>
        <v>0</v>
      </c>
      <c r="P20" s="108">
        <f t="shared" si="7"/>
        <v>0</v>
      </c>
      <c r="Q20" s="7" t="str">
        <f t="shared" si="8"/>
        <v>NA</v>
      </c>
    </row>
    <row r="21" spans="1:18" x14ac:dyDescent="0.25">
      <c r="A21" s="106">
        <v>16</v>
      </c>
      <c r="B21" s="15" t="s">
        <v>11</v>
      </c>
      <c r="C21" s="15"/>
      <c r="D21" s="15"/>
      <c r="E21" s="15"/>
      <c r="F21" s="15"/>
      <c r="G21" s="15">
        <f>SUM(G16:G20)</f>
        <v>7500</v>
      </c>
      <c r="H21" s="15">
        <f>SUM(H16:H20)</f>
        <v>9999.9600000000009</v>
      </c>
      <c r="I21" s="16">
        <f t="shared" si="5"/>
        <v>-0.24999699998800001</v>
      </c>
      <c r="J21" s="15">
        <f t="shared" ref="J21:M21" si="9">SUM(J16:J20)</f>
        <v>9140.44</v>
      </c>
      <c r="K21" s="16">
        <f t="shared" si="6"/>
        <v>-0.17947057253261336</v>
      </c>
      <c r="L21" s="15">
        <f t="shared" ref="L21" si="10">SUM(L16:L20)</f>
        <v>18538.05</v>
      </c>
      <c r="M21" s="15">
        <f t="shared" si="9"/>
        <v>12877</v>
      </c>
      <c r="O21" s="15">
        <f t="shared" ref="O21:P21" si="11">SUM(O16:O20)</f>
        <v>10336.640000000001</v>
      </c>
      <c r="P21" s="15">
        <f t="shared" si="11"/>
        <v>8333.3000000000011</v>
      </c>
      <c r="Q21" s="16">
        <f t="shared" si="8"/>
        <v>0.2404017616070464</v>
      </c>
    </row>
    <row r="22" spans="1:18" x14ac:dyDescent="0.25">
      <c r="A22" s="106">
        <v>17</v>
      </c>
      <c r="B22" s="15" t="s">
        <v>14</v>
      </c>
      <c r="C22" s="15"/>
      <c r="D22" s="15"/>
      <c r="E22" s="15"/>
      <c r="F22" s="15"/>
      <c r="G22" s="15">
        <f>+G13+G21</f>
        <v>561226</v>
      </c>
      <c r="H22" s="15">
        <f>+H13+H21</f>
        <v>572504.96</v>
      </c>
      <c r="I22" s="16">
        <f t="shared" si="5"/>
        <v>-1.9701069489424097E-2</v>
      </c>
      <c r="J22" s="15">
        <f t="shared" ref="J22:M22" si="12">+J13+J21</f>
        <v>509172.33999999997</v>
      </c>
      <c r="K22" s="16">
        <f t="shared" si="6"/>
        <v>0.10223190835543038</v>
      </c>
      <c r="L22" s="15">
        <f t="shared" ref="L22" si="13">+L13+L21</f>
        <v>577445.49</v>
      </c>
      <c r="M22" s="15">
        <f t="shared" si="12"/>
        <v>570252</v>
      </c>
      <c r="O22" s="15">
        <f t="shared" ref="O22:P22" si="14">+O13+O21</f>
        <v>470470.83</v>
      </c>
      <c r="P22" s="15">
        <f t="shared" si="14"/>
        <v>481187.83</v>
      </c>
      <c r="Q22" s="16">
        <f t="shared" si="8"/>
        <v>-2.2271968100273858E-2</v>
      </c>
    </row>
    <row r="23" spans="1:18" ht="6" customHeight="1" x14ac:dyDescent="0.25">
      <c r="A23" s="106">
        <v>18</v>
      </c>
      <c r="I23" s="8"/>
      <c r="L23" s="1"/>
      <c r="M23" s="1"/>
    </row>
    <row r="24" spans="1:18" ht="18.75" x14ac:dyDescent="0.25">
      <c r="A24" s="106">
        <v>19</v>
      </c>
      <c r="B24" s="11" t="s">
        <v>15</v>
      </c>
      <c r="I24" s="8"/>
      <c r="L24" s="1"/>
      <c r="M24" s="1"/>
    </row>
    <row r="25" spans="1:18" ht="18.75" x14ac:dyDescent="0.25">
      <c r="A25" s="106">
        <v>20</v>
      </c>
      <c r="B25" s="11" t="s">
        <v>137</v>
      </c>
      <c r="I25" s="8"/>
      <c r="L25" s="1"/>
      <c r="M25" s="1"/>
    </row>
    <row r="26" spans="1:18" x14ac:dyDescent="0.25">
      <c r="A26" s="106">
        <v>21</v>
      </c>
      <c r="C26" s="1" t="s">
        <v>17</v>
      </c>
      <c r="G26" s="1">
        <f>+G22</f>
        <v>561226</v>
      </c>
      <c r="H26" s="1">
        <f>+H22</f>
        <v>572504.96</v>
      </c>
      <c r="I26" s="8"/>
      <c r="L26" s="1"/>
      <c r="M26" s="1"/>
    </row>
    <row r="27" spans="1:18" x14ac:dyDescent="0.25">
      <c r="A27" s="106">
        <v>22</v>
      </c>
      <c r="C27" s="1" t="s">
        <v>16</v>
      </c>
      <c r="G27" s="52">
        <f>-G153</f>
        <v>-54900</v>
      </c>
      <c r="H27" s="52">
        <f>+'2013 Budget'!R27</f>
        <v>-54900</v>
      </c>
      <c r="I27" s="8"/>
      <c r="L27" s="1"/>
      <c r="M27" s="1"/>
      <c r="R27" s="9" t="s">
        <v>148</v>
      </c>
    </row>
    <row r="28" spans="1:18" x14ac:dyDescent="0.25">
      <c r="A28" s="106">
        <v>23</v>
      </c>
      <c r="C28" s="1" t="s">
        <v>18</v>
      </c>
      <c r="G28" s="52">
        <f>-G163</f>
        <v>0</v>
      </c>
      <c r="H28" s="52">
        <f>+'2013 Budget'!R28</f>
        <v>-4516</v>
      </c>
      <c r="I28" s="8"/>
      <c r="L28" s="1"/>
      <c r="M28" s="1"/>
      <c r="R28" s="46" t="s">
        <v>148</v>
      </c>
    </row>
    <row r="29" spans="1:18" x14ac:dyDescent="0.25">
      <c r="A29" s="106">
        <v>24</v>
      </c>
      <c r="C29" s="1" t="s">
        <v>19</v>
      </c>
      <c r="G29" s="52">
        <f>-G154</f>
        <v>0</v>
      </c>
      <c r="H29" s="52">
        <f>+'2013 Budget'!R29</f>
        <v>-684</v>
      </c>
      <c r="I29" s="8"/>
      <c r="L29" s="1"/>
      <c r="M29" s="1"/>
      <c r="R29" s="46" t="s">
        <v>148</v>
      </c>
    </row>
    <row r="30" spans="1:18" x14ac:dyDescent="0.25">
      <c r="A30" s="106">
        <v>25</v>
      </c>
      <c r="C30" s="1" t="s">
        <v>17</v>
      </c>
      <c r="G30" s="1">
        <f>SUM(G26:G29)</f>
        <v>506326</v>
      </c>
      <c r="H30" s="1">
        <f>SUM(H26:H29)</f>
        <v>512404.95999999996</v>
      </c>
      <c r="I30" s="8"/>
      <c r="L30" s="1"/>
      <c r="M30" s="1"/>
    </row>
    <row r="31" spans="1:18" s="5" customFormat="1" x14ac:dyDescent="0.25">
      <c r="A31" s="106">
        <v>26</v>
      </c>
      <c r="B31" s="18"/>
      <c r="C31" s="19" t="s">
        <v>138</v>
      </c>
      <c r="D31" s="18"/>
      <c r="E31" s="18"/>
      <c r="F31" s="18"/>
      <c r="G31" s="18">
        <f>ROUND(+G30*0.1,0)</f>
        <v>50633</v>
      </c>
      <c r="H31" s="200">
        <f>+'2013 Budget'!AD31</f>
        <v>51241</v>
      </c>
      <c r="I31" s="21">
        <f>IF(H31=0,"NA",(+G31-H31)/H31)</f>
        <v>-1.1865498331414297E-2</v>
      </c>
      <c r="J31" s="200">
        <f>+'Prior Year Actuals'!R31</f>
        <v>42544.130000000012</v>
      </c>
      <c r="K31" s="21">
        <f>IF(J31=0,"NA",(+G31-J31)/J31)</f>
        <v>0.19012893200542555</v>
      </c>
      <c r="L31" s="200">
        <f>+'2011 Actuals'!R31</f>
        <v>43119.130000000012</v>
      </c>
      <c r="M31" s="20">
        <v>51179</v>
      </c>
      <c r="N31" s="18"/>
      <c r="O31" s="200">
        <f>VLOOKUP($A31,Cur_Actuals,Cur_Month+18)</f>
        <v>40095.800000000003</v>
      </c>
      <c r="P31" s="200">
        <f t="shared" ref="P31" si="15">VLOOKUP($A31,Cur_Budget,Cur_Month+18)</f>
        <v>41346.600000000006</v>
      </c>
      <c r="Q31" s="21">
        <f>IF(P31=0,"NA",(+O31-P31)/P31)</f>
        <v>-3.0251580541084459E-2</v>
      </c>
      <c r="R31" s="14" t="s">
        <v>136</v>
      </c>
    </row>
    <row r="32" spans="1:18" s="5" customFormat="1" ht="6.75" customHeight="1" x14ac:dyDescent="0.25">
      <c r="A32" s="106">
        <v>27</v>
      </c>
      <c r="B32" s="22"/>
      <c r="C32" s="23"/>
      <c r="D32" s="22"/>
      <c r="E32" s="22"/>
      <c r="F32" s="22"/>
      <c r="G32" s="22"/>
      <c r="H32" s="24"/>
      <c r="I32" s="25"/>
      <c r="J32" s="24"/>
      <c r="K32" s="25"/>
      <c r="L32" s="24"/>
      <c r="M32" s="24"/>
      <c r="N32" s="22"/>
      <c r="O32" s="24"/>
      <c r="P32" s="24"/>
      <c r="Q32" s="25"/>
      <c r="R32" s="14"/>
    </row>
    <row r="33" spans="1:18" s="5" customFormat="1" ht="18.75" x14ac:dyDescent="0.25">
      <c r="A33" s="106">
        <v>28</v>
      </c>
      <c r="B33" s="26" t="s">
        <v>91</v>
      </c>
      <c r="C33" s="23"/>
      <c r="D33" s="22"/>
      <c r="E33" s="22"/>
      <c r="F33" s="22"/>
      <c r="G33" s="22"/>
      <c r="H33" s="24"/>
      <c r="I33" s="25"/>
      <c r="J33" s="24"/>
      <c r="K33" s="25"/>
      <c r="L33" s="24"/>
      <c r="M33" s="24"/>
      <c r="N33" s="22"/>
      <c r="O33" s="24"/>
      <c r="P33" s="24"/>
      <c r="Q33" s="25"/>
      <c r="R33" s="14"/>
    </row>
    <row r="34" spans="1:18" x14ac:dyDescent="0.25">
      <c r="A34" s="106">
        <v>29</v>
      </c>
      <c r="B34" s="5" t="s">
        <v>20</v>
      </c>
      <c r="I34" s="8"/>
      <c r="L34" s="1"/>
      <c r="M34" s="1"/>
    </row>
    <row r="35" spans="1:18" x14ac:dyDescent="0.25">
      <c r="A35" s="106">
        <v>30</v>
      </c>
      <c r="C35" s="1" t="s">
        <v>119</v>
      </c>
      <c r="G35" s="6">
        <v>3500</v>
      </c>
      <c r="H35" s="52">
        <f>+'2013 Budget'!AD35</f>
        <v>3500.0000000000005</v>
      </c>
      <c r="I35" s="7">
        <f t="shared" ref="I35:I41" si="16">IF(H35=0,"NA",(+G35-H35)/H35)</f>
        <v>-1.2992781453898973E-16</v>
      </c>
      <c r="J35" s="52">
        <f>+'Prior Year Actuals'!R35</f>
        <v>3536.59</v>
      </c>
      <c r="K35" s="7">
        <f t="shared" ref="K35:K41" si="17">IF(J35=0,"NA",(+G35-J35)/J35)</f>
        <v>-1.0346124374043964E-2</v>
      </c>
      <c r="L35" s="52">
        <f>+'2011 Actuals'!R35</f>
        <v>4611.53</v>
      </c>
      <c r="M35" s="6">
        <v>4256</v>
      </c>
      <c r="O35" s="108">
        <f t="shared" ref="O35:O40" si="18">VLOOKUP($A35,Cur_Actuals,Cur_Month+18)</f>
        <v>1474.3</v>
      </c>
      <c r="P35" s="108">
        <f t="shared" ref="P35:P40" si="19">VLOOKUP($A35,Cur_Budget,Cur_Month+18)</f>
        <v>2800</v>
      </c>
      <c r="Q35" s="7">
        <f t="shared" ref="Q35:Q41" si="20">IF(P35=0,"NA",(+O35-P35)/P35)</f>
        <v>-0.47346428571428573</v>
      </c>
    </row>
    <row r="36" spans="1:18" x14ac:dyDescent="0.25">
      <c r="A36" s="106">
        <v>31</v>
      </c>
      <c r="C36" s="1" t="s">
        <v>21</v>
      </c>
      <c r="G36" s="6">
        <v>900</v>
      </c>
      <c r="H36" s="52">
        <f>+'2013 Budget'!AD36</f>
        <v>750</v>
      </c>
      <c r="I36" s="7">
        <f t="shared" si="16"/>
        <v>0.2</v>
      </c>
      <c r="J36" s="52">
        <f>+'Prior Year Actuals'!R36</f>
        <v>1421.25</v>
      </c>
      <c r="K36" s="7">
        <f t="shared" si="17"/>
        <v>-0.36675461741424803</v>
      </c>
      <c r="L36" s="52">
        <f>+'2011 Actuals'!R36</f>
        <v>1387.6999999999998</v>
      </c>
      <c r="M36" s="6">
        <v>2277</v>
      </c>
      <c r="O36" s="108">
        <f t="shared" si="18"/>
        <v>535.77</v>
      </c>
      <c r="P36" s="108">
        <f t="shared" si="19"/>
        <v>600</v>
      </c>
      <c r="Q36" s="7">
        <f t="shared" si="20"/>
        <v>-0.10705000000000003</v>
      </c>
    </row>
    <row r="37" spans="1:18" x14ac:dyDescent="0.25">
      <c r="A37" s="106">
        <v>32</v>
      </c>
      <c r="C37" s="1" t="s">
        <v>22</v>
      </c>
      <c r="G37" s="6">
        <v>1200</v>
      </c>
      <c r="H37" s="52">
        <f>+'2013 Budget'!AD37</f>
        <v>750</v>
      </c>
      <c r="I37" s="7">
        <f t="shared" si="16"/>
        <v>0.6</v>
      </c>
      <c r="J37" s="52">
        <f>+'Prior Year Actuals'!R37</f>
        <v>418.24</v>
      </c>
      <c r="K37" s="7">
        <f t="shared" si="17"/>
        <v>1.8691660290742158</v>
      </c>
      <c r="L37" s="52">
        <f>+'2011 Actuals'!R37</f>
        <v>721.94</v>
      </c>
      <c r="M37" s="6">
        <v>1278</v>
      </c>
      <c r="O37" s="108">
        <f t="shared" si="18"/>
        <v>795.86</v>
      </c>
      <c r="P37" s="108">
        <f t="shared" si="19"/>
        <v>750</v>
      </c>
      <c r="Q37" s="7">
        <f t="shared" si="20"/>
        <v>6.1146666666666682E-2</v>
      </c>
    </row>
    <row r="38" spans="1:18" x14ac:dyDescent="0.25">
      <c r="A38" s="106">
        <v>33</v>
      </c>
      <c r="C38" s="1" t="s">
        <v>23</v>
      </c>
      <c r="G38" s="6">
        <v>400</v>
      </c>
      <c r="H38" s="52">
        <f>+'2013 Budget'!AD38</f>
        <v>500.04000000000013</v>
      </c>
      <c r="I38" s="7">
        <f t="shared" si="16"/>
        <v>-0.2000639948804098</v>
      </c>
      <c r="J38" s="52">
        <f>+'Prior Year Actuals'!R38</f>
        <v>498.55</v>
      </c>
      <c r="K38" s="7">
        <f t="shared" si="17"/>
        <v>-0.19767325243205297</v>
      </c>
      <c r="L38" s="52">
        <f>+'2011 Actuals'!R38</f>
        <v>665.4</v>
      </c>
      <c r="M38" s="6">
        <v>773</v>
      </c>
      <c r="O38" s="108">
        <f t="shared" si="18"/>
        <v>498.62</v>
      </c>
      <c r="P38" s="108">
        <f t="shared" si="19"/>
        <v>416.7000000000001</v>
      </c>
      <c r="Q38" s="7">
        <f t="shared" si="20"/>
        <v>0.19659227261819026</v>
      </c>
    </row>
    <row r="39" spans="1:18" x14ac:dyDescent="0.25">
      <c r="A39" s="106">
        <v>34</v>
      </c>
      <c r="C39" s="1" t="s">
        <v>24</v>
      </c>
      <c r="G39" s="6">
        <v>150</v>
      </c>
      <c r="H39" s="52">
        <f>+'2013 Budget'!AD39</f>
        <v>200</v>
      </c>
      <c r="I39" s="7">
        <f t="shared" si="16"/>
        <v>-0.25</v>
      </c>
      <c r="J39" s="52">
        <f>+'Prior Year Actuals'!R39</f>
        <v>232.51999999999998</v>
      </c>
      <c r="K39" s="7">
        <f t="shared" si="17"/>
        <v>-0.35489420264923444</v>
      </c>
      <c r="L39" s="52">
        <f>+'2011 Actuals'!R39</f>
        <v>142.77000000000001</v>
      </c>
      <c r="M39" s="6">
        <v>259</v>
      </c>
      <c r="O39" s="108">
        <f t="shared" si="18"/>
        <v>90.07</v>
      </c>
      <c r="P39" s="108">
        <f t="shared" si="19"/>
        <v>200</v>
      </c>
      <c r="Q39" s="7">
        <f t="shared" si="20"/>
        <v>-0.54965000000000008</v>
      </c>
    </row>
    <row r="40" spans="1:18" x14ac:dyDescent="0.25">
      <c r="A40" s="106">
        <v>35</v>
      </c>
      <c r="C40" s="1" t="s">
        <v>124</v>
      </c>
      <c r="G40" s="6">
        <v>500</v>
      </c>
      <c r="H40" s="52">
        <f>+'2013 Budget'!AD40</f>
        <v>750</v>
      </c>
      <c r="I40" s="7">
        <f t="shared" si="16"/>
        <v>-0.33333333333333331</v>
      </c>
      <c r="J40" s="52">
        <f>+'Prior Year Actuals'!R40</f>
        <v>465.07</v>
      </c>
      <c r="K40" s="7">
        <f t="shared" si="17"/>
        <v>7.5106973143827832E-2</v>
      </c>
      <c r="L40" s="52">
        <f>+'2011 Actuals'!R40</f>
        <v>866.87</v>
      </c>
      <c r="M40" s="6">
        <v>459</v>
      </c>
      <c r="O40" s="108">
        <f t="shared" si="18"/>
        <v>742.81</v>
      </c>
      <c r="P40" s="108">
        <f t="shared" si="19"/>
        <v>625</v>
      </c>
      <c r="Q40" s="7">
        <f t="shared" si="20"/>
        <v>0.18849599999999991</v>
      </c>
    </row>
    <row r="41" spans="1:18" s="5" customFormat="1" x14ac:dyDescent="0.25">
      <c r="A41" s="106">
        <v>36</v>
      </c>
      <c r="B41" s="27" t="s">
        <v>25</v>
      </c>
      <c r="C41" s="27"/>
      <c r="D41" s="27"/>
      <c r="E41" s="51"/>
      <c r="F41" s="51"/>
      <c r="G41" s="27">
        <f>SUM(G35:G40)</f>
        <v>6650</v>
      </c>
      <c r="H41" s="27">
        <f>SUM(H35:H40)</f>
        <v>6450.04</v>
      </c>
      <c r="I41" s="28">
        <f t="shared" si="16"/>
        <v>3.1001358131112371E-2</v>
      </c>
      <c r="J41" s="27">
        <f t="shared" ref="J41:M41" si="21">SUM(J35:J40)</f>
        <v>6572.2199999999993</v>
      </c>
      <c r="K41" s="28">
        <f t="shared" si="17"/>
        <v>1.183466165161858E-2</v>
      </c>
      <c r="L41" s="51">
        <f t="shared" ref="L41" si="22">SUM(L35:L40)</f>
        <v>8396.2100000000009</v>
      </c>
      <c r="M41" s="51">
        <f t="shared" si="21"/>
        <v>9302</v>
      </c>
      <c r="O41" s="27">
        <f t="shared" ref="O41:P41" si="23">SUM(O35:O40)</f>
        <v>4137.43</v>
      </c>
      <c r="P41" s="27">
        <f t="shared" si="23"/>
        <v>5391.7</v>
      </c>
      <c r="Q41" s="28">
        <f t="shared" si="20"/>
        <v>-0.23262978281432564</v>
      </c>
      <c r="R41" s="14"/>
    </row>
    <row r="42" spans="1:18" ht="6" customHeight="1" x14ac:dyDescent="0.25">
      <c r="A42" s="106">
        <v>37</v>
      </c>
      <c r="I42" s="8"/>
      <c r="L42" s="1"/>
      <c r="M42" s="1"/>
    </row>
    <row r="43" spans="1:18" x14ac:dyDescent="0.25">
      <c r="A43" s="106">
        <v>38</v>
      </c>
      <c r="B43" s="27" t="s">
        <v>26</v>
      </c>
      <c r="C43" s="27"/>
      <c r="D43" s="27"/>
      <c r="E43" s="51"/>
      <c r="F43" s="51"/>
      <c r="G43" s="29">
        <v>750</v>
      </c>
      <c r="H43" s="201">
        <f>+'2013 Budget'!AD43</f>
        <v>999.96000000000015</v>
      </c>
      <c r="I43" s="28">
        <f>IF(H43=0,"NA",(+G43-H43)/H43)</f>
        <v>-0.2499699987999521</v>
      </c>
      <c r="J43" s="201">
        <f>+'Prior Year Actuals'!R43</f>
        <v>1123.67</v>
      </c>
      <c r="K43" s="28">
        <f>IF(J43=0,"NA",(+G43-J43)/J43)</f>
        <v>-0.33254425231607149</v>
      </c>
      <c r="L43" s="201">
        <f>+'2011 Actuals'!R43</f>
        <v>1450.9</v>
      </c>
      <c r="M43" s="29">
        <v>0</v>
      </c>
      <c r="O43" s="201">
        <f>VLOOKUP($A43,Cur_Actuals,Cur_Month+18)</f>
        <v>700.59</v>
      </c>
      <c r="P43" s="201">
        <f t="shared" ref="P43" si="24">VLOOKUP($A43,Cur_Budget,Cur_Month+18)</f>
        <v>833.30000000000007</v>
      </c>
      <c r="Q43" s="28">
        <f>IF(P43=0,"NA",(+O43-P43)/P43)</f>
        <v>-0.15925837033481341</v>
      </c>
      <c r="R43" s="9" t="s">
        <v>230</v>
      </c>
    </row>
    <row r="44" spans="1:18" ht="7.5" customHeight="1" x14ac:dyDescent="0.25">
      <c r="A44" s="106">
        <v>39</v>
      </c>
      <c r="I44" s="8"/>
      <c r="L44" s="1"/>
      <c r="M44" s="1"/>
    </row>
    <row r="45" spans="1:18" x14ac:dyDescent="0.25">
      <c r="A45" s="106">
        <v>40</v>
      </c>
      <c r="B45" s="5" t="s">
        <v>27</v>
      </c>
      <c r="I45" s="8"/>
      <c r="L45" s="1"/>
      <c r="M45" s="1"/>
    </row>
    <row r="46" spans="1:18" ht="75" x14ac:dyDescent="0.25">
      <c r="A46" s="106">
        <v>41</v>
      </c>
      <c r="C46" s="1" t="s">
        <v>29</v>
      </c>
      <c r="G46" s="6">
        <v>5200</v>
      </c>
      <c r="H46" s="52">
        <f>+'2013 Budget'!AD46</f>
        <v>5300.04</v>
      </c>
      <c r="I46" s="7">
        <f t="shared" ref="I46:I50" si="25">IF(H46=0,"NA",(+G46-H46)/H46)</f>
        <v>-1.887532924279816E-2</v>
      </c>
      <c r="J46" s="52">
        <f>+'Prior Year Actuals'!R46</f>
        <v>4861.6399999999994</v>
      </c>
      <c r="K46" s="7">
        <f>IF(J46=0,"NA",(+G46-J46)/J46)</f>
        <v>6.9597913461301258E-2</v>
      </c>
      <c r="L46" s="52">
        <f>+'2011 Actuals'!R46</f>
        <v>6778.8300000000008</v>
      </c>
      <c r="M46" s="6">
        <v>7075</v>
      </c>
      <c r="O46" s="108">
        <f>VLOOKUP($A46,Cur_Actuals,Cur_Month+18)</f>
        <v>4582.0199999999995</v>
      </c>
      <c r="P46" s="108">
        <f t="shared" ref="P46:P49" si="26">VLOOKUP($A46,Cur_Budget,Cur_Month+18)</f>
        <v>4416.7</v>
      </c>
      <c r="Q46" s="7">
        <f>IF(P46=0,"NA",(+O46-P46)/P46)</f>
        <v>3.7430660900672381E-2</v>
      </c>
      <c r="R46" s="9" t="s">
        <v>231</v>
      </c>
    </row>
    <row r="47" spans="1:18" ht="45" x14ac:dyDescent="0.25">
      <c r="A47" s="106">
        <v>42</v>
      </c>
      <c r="C47" s="1" t="s">
        <v>30</v>
      </c>
      <c r="G47" s="208">
        <v>1300</v>
      </c>
      <c r="H47" s="52">
        <f>+'2013 Budget'!AD47</f>
        <v>1299.96</v>
      </c>
      <c r="I47" s="7">
        <f t="shared" si="25"/>
        <v>3.077017754389644E-5</v>
      </c>
      <c r="J47" s="52">
        <f>+'Prior Year Actuals'!R47</f>
        <v>2172.36</v>
      </c>
      <c r="K47" s="7">
        <f>IF(J47=0,"NA",(+G47-J47)/J47)</f>
        <v>-0.40157248338212825</v>
      </c>
      <c r="L47" s="52">
        <f>+'2011 Actuals'!R47</f>
        <v>0</v>
      </c>
      <c r="M47" s="6">
        <v>0</v>
      </c>
      <c r="O47" s="108">
        <f>VLOOKUP($A47,Cur_Actuals,Cur_Month+18)</f>
        <v>1000</v>
      </c>
      <c r="P47" s="108">
        <f t="shared" si="26"/>
        <v>1083.3000000000002</v>
      </c>
      <c r="Q47" s="7">
        <f>IF(P47=0,"NA",(+O47-P47)/P47)</f>
        <v>-7.6894673682267295E-2</v>
      </c>
      <c r="R47" s="9" t="s">
        <v>236</v>
      </c>
    </row>
    <row r="48" spans="1:18" x14ac:dyDescent="0.25">
      <c r="A48" s="106">
        <v>43</v>
      </c>
      <c r="C48" s="1" t="s">
        <v>31</v>
      </c>
      <c r="G48" s="6">
        <v>800</v>
      </c>
      <c r="H48" s="52">
        <f>+'2013 Budget'!AD48</f>
        <v>999.96000000000015</v>
      </c>
      <c r="I48" s="7">
        <f t="shared" si="25"/>
        <v>-0.19996799871994891</v>
      </c>
      <c r="J48" s="52">
        <f>+'Prior Year Actuals'!R48</f>
        <v>995.08</v>
      </c>
      <c r="K48" s="7">
        <f>IF(J48=0,"NA",(+G48-J48)/J48)</f>
        <v>-0.19604453913253209</v>
      </c>
      <c r="L48" s="52">
        <f>+'2011 Actuals'!R48</f>
        <v>0</v>
      </c>
      <c r="M48" s="6">
        <v>0</v>
      </c>
      <c r="O48" s="108">
        <f>VLOOKUP($A48,Cur_Actuals,Cur_Month+18)</f>
        <v>730.85</v>
      </c>
      <c r="P48" s="108">
        <f t="shared" si="26"/>
        <v>833.30000000000007</v>
      </c>
      <c r="Q48" s="7">
        <f>IF(P48=0,"NA",(+O48-P48)/P48)</f>
        <v>-0.12294491779671192</v>
      </c>
    </row>
    <row r="49" spans="1:18" x14ac:dyDescent="0.25">
      <c r="A49" s="106">
        <v>44</v>
      </c>
      <c r="C49" s="1" t="s">
        <v>32</v>
      </c>
      <c r="G49" s="6">
        <v>200</v>
      </c>
      <c r="H49" s="52">
        <f>+'2013 Budget'!AD49</f>
        <v>300</v>
      </c>
      <c r="I49" s="7">
        <f t="shared" si="25"/>
        <v>-0.33333333333333331</v>
      </c>
      <c r="J49" s="52">
        <f>+'Prior Year Actuals'!R49</f>
        <v>225.57</v>
      </c>
      <c r="K49" s="7">
        <f>IF(J49=0,"NA",(+G49-J49)/J49)</f>
        <v>-0.11335727268697075</v>
      </c>
      <c r="L49" s="52">
        <f>+'2011 Actuals'!R49</f>
        <v>992</v>
      </c>
      <c r="M49" s="6">
        <v>1051</v>
      </c>
      <c r="O49" s="108">
        <f>VLOOKUP($A49,Cur_Actuals,Cur_Month+18)</f>
        <v>248.5</v>
      </c>
      <c r="P49" s="108">
        <f t="shared" si="26"/>
        <v>250</v>
      </c>
      <c r="Q49" s="7">
        <f>IF(P49=0,"NA",(+O49-P49)/P49)</f>
        <v>-6.0000000000000001E-3</v>
      </c>
      <c r="R49" s="9" t="s">
        <v>134</v>
      </c>
    </row>
    <row r="50" spans="1:18" s="5" customFormat="1" x14ac:dyDescent="0.25">
      <c r="A50" s="106">
        <v>45</v>
      </c>
      <c r="B50" s="27" t="s">
        <v>28</v>
      </c>
      <c r="C50" s="27"/>
      <c r="D50" s="27"/>
      <c r="E50" s="51"/>
      <c r="F50" s="51"/>
      <c r="G50" s="27">
        <f>SUM(G46:G49)</f>
        <v>7500</v>
      </c>
      <c r="H50" s="27">
        <f>SUM(H46:H49)</f>
        <v>7899.96</v>
      </c>
      <c r="I50" s="28">
        <f t="shared" si="25"/>
        <v>-5.0628104446098464E-2</v>
      </c>
      <c r="J50" s="27">
        <f>SUM(J46:J49)</f>
        <v>8254.65</v>
      </c>
      <c r="K50" s="28">
        <f>IF(J50=0,"NA",(+G50-J50)/J50)</f>
        <v>-9.1421198960585814E-2</v>
      </c>
      <c r="L50" s="51">
        <f>SUM(L46:L49)</f>
        <v>7770.8300000000008</v>
      </c>
      <c r="M50" s="51">
        <f>SUM(M46:M49)</f>
        <v>8126</v>
      </c>
      <c r="O50" s="27">
        <f>SUM(O46:O49)</f>
        <v>6561.37</v>
      </c>
      <c r="P50" s="27">
        <f>SUM(P46:P49)</f>
        <v>6583.3</v>
      </c>
      <c r="Q50" s="28">
        <f>IF(P50=0,"NA",(+O50-P50)/P50)</f>
        <v>-3.3311561071195737E-3</v>
      </c>
      <c r="R50" s="14"/>
    </row>
    <row r="51" spans="1:18" ht="6.75" customHeight="1" x14ac:dyDescent="0.25">
      <c r="A51" s="106">
        <v>46</v>
      </c>
      <c r="I51" s="8"/>
      <c r="L51" s="1"/>
      <c r="M51" s="1"/>
    </row>
    <row r="52" spans="1:18" x14ac:dyDescent="0.25">
      <c r="A52" s="106">
        <v>47</v>
      </c>
      <c r="B52" s="5" t="s">
        <v>33</v>
      </c>
      <c r="I52" s="8"/>
      <c r="L52" s="1"/>
      <c r="M52" s="1"/>
    </row>
    <row r="53" spans="1:18" x14ac:dyDescent="0.25">
      <c r="A53" s="106">
        <v>48</v>
      </c>
      <c r="C53" s="1" t="s">
        <v>34</v>
      </c>
      <c r="G53" s="6">
        <v>8000</v>
      </c>
      <c r="H53" s="52">
        <f>+'2013 Budget'!AD53</f>
        <v>6999.96</v>
      </c>
      <c r="I53" s="7">
        <f t="shared" ref="I53:I56" si="27">IF(H53=0,"NA",(+G53-H53)/H53)</f>
        <v>0.14286367350670576</v>
      </c>
      <c r="J53" s="52">
        <f>+'Prior Year Actuals'!R53</f>
        <v>3956.12</v>
      </c>
      <c r="K53" s="7">
        <f>IF(J53=0,"NA",(+G53-J53)/J53)</f>
        <v>1.0221833513644683</v>
      </c>
      <c r="L53" s="52">
        <f>+'2011 Actuals'!R53</f>
        <v>6714.23</v>
      </c>
      <c r="M53" s="6">
        <v>5311</v>
      </c>
      <c r="O53" s="108">
        <f>VLOOKUP($A53,Cur_Actuals,Cur_Month+18)</f>
        <v>2877.93</v>
      </c>
      <c r="P53" s="108">
        <f t="shared" ref="P53:P55" si="28">VLOOKUP($A53,Cur_Budget,Cur_Month+18)</f>
        <v>5833.3</v>
      </c>
      <c r="Q53" s="7">
        <f>IF(P53=0,"NA",(+O53-P53)/P53)</f>
        <v>-0.50663775221572704</v>
      </c>
      <c r="R53" s="9" t="s">
        <v>272</v>
      </c>
    </row>
    <row r="54" spans="1:18" hidden="1" x14ac:dyDescent="0.25">
      <c r="A54" s="106">
        <v>49</v>
      </c>
      <c r="C54" s="1" t="s">
        <v>143</v>
      </c>
      <c r="G54" s="6">
        <v>0</v>
      </c>
      <c r="H54" s="52">
        <f>+'2013 Budget'!AD54</f>
        <v>0</v>
      </c>
      <c r="I54" s="7" t="str">
        <f t="shared" si="27"/>
        <v>NA</v>
      </c>
      <c r="J54" s="52">
        <f>+'Prior Year Actuals'!R54</f>
        <v>0</v>
      </c>
      <c r="K54" s="7" t="str">
        <f>IF(J54=0,"NA",(+G54-J54)/J54)</f>
        <v>NA</v>
      </c>
      <c r="L54" s="52">
        <f>+'2011 Actuals'!R54</f>
        <v>0</v>
      </c>
      <c r="M54" s="6">
        <v>0</v>
      </c>
      <c r="O54" s="108">
        <f>VLOOKUP($A54,Cur_Actuals,Cur_Month+18)</f>
        <v>0</v>
      </c>
      <c r="P54" s="108">
        <f t="shared" si="28"/>
        <v>0</v>
      </c>
      <c r="Q54" s="7" t="str">
        <f>IF(P54=0,"NA",(+O54-P54)/P54)</f>
        <v>NA</v>
      </c>
    </row>
    <row r="55" spans="1:18" ht="30" x14ac:dyDescent="0.25">
      <c r="A55" s="106">
        <v>50</v>
      </c>
      <c r="C55" s="1" t="s">
        <v>146</v>
      </c>
      <c r="G55" s="6">
        <v>150</v>
      </c>
      <c r="H55" s="52">
        <f>+'2013 Budget'!AD55</f>
        <v>0</v>
      </c>
      <c r="I55" s="7" t="str">
        <f t="shared" si="27"/>
        <v>NA</v>
      </c>
      <c r="J55" s="52">
        <f>+'Prior Year Actuals'!R55</f>
        <v>0</v>
      </c>
      <c r="K55" s="7" t="str">
        <f>IF(J55=0,"NA",(+G55-J55)/J55)</f>
        <v>NA</v>
      </c>
      <c r="L55" s="52">
        <f>+'2011 Actuals'!R55</f>
        <v>0</v>
      </c>
      <c r="M55" s="6">
        <v>0</v>
      </c>
      <c r="O55" s="108">
        <f>VLOOKUP($A55,Cur_Actuals,Cur_Month+18)</f>
        <v>0</v>
      </c>
      <c r="P55" s="108">
        <f t="shared" si="28"/>
        <v>0</v>
      </c>
      <c r="Q55" s="7" t="str">
        <f>IF(P55=0,"NA",(+O55-P55)/P55)</f>
        <v>NA</v>
      </c>
      <c r="R55" s="9" t="s">
        <v>260</v>
      </c>
    </row>
    <row r="56" spans="1:18" s="5" customFormat="1" x14ac:dyDescent="0.25">
      <c r="A56" s="106">
        <v>51</v>
      </c>
      <c r="B56" s="27" t="s">
        <v>35</v>
      </c>
      <c r="C56" s="27"/>
      <c r="D56" s="27"/>
      <c r="E56" s="51"/>
      <c r="F56" s="51"/>
      <c r="G56" s="27">
        <f>SUM(G53:G55)</f>
        <v>8150</v>
      </c>
      <c r="H56" s="27">
        <f>SUM(H53:H55)</f>
        <v>6999.96</v>
      </c>
      <c r="I56" s="28">
        <f t="shared" si="27"/>
        <v>0.16429236738495648</v>
      </c>
      <c r="J56" s="27">
        <f>SUM(J53:J55)</f>
        <v>3956.12</v>
      </c>
      <c r="K56" s="28">
        <f>IF(J56=0,"NA",(+G56-J56)/J56)</f>
        <v>1.060099289202552</v>
      </c>
      <c r="L56" s="51">
        <f>SUM(L53:L55)</f>
        <v>6714.23</v>
      </c>
      <c r="M56" s="51">
        <f>SUM(M53:M55)</f>
        <v>5311</v>
      </c>
      <c r="O56" s="27">
        <f>SUM(O53:O55)</f>
        <v>2877.93</v>
      </c>
      <c r="P56" s="27">
        <f>SUM(P53:P55)</f>
        <v>5833.3</v>
      </c>
      <c r="Q56" s="28">
        <f>IF(P56=0,"NA",(+O56-P56)/P56)</f>
        <v>-0.50663775221572704</v>
      </c>
      <c r="R56" s="14"/>
    </row>
    <row r="57" spans="1:18" ht="6.75" customHeight="1" x14ac:dyDescent="0.25">
      <c r="A57" s="106">
        <v>52</v>
      </c>
      <c r="I57" s="8"/>
      <c r="L57" s="1"/>
      <c r="M57" s="1"/>
    </row>
    <row r="58" spans="1:18" x14ac:dyDescent="0.25">
      <c r="A58" s="106">
        <v>53</v>
      </c>
      <c r="B58" s="5" t="s">
        <v>141</v>
      </c>
      <c r="I58" s="8"/>
      <c r="L58" s="1"/>
      <c r="M58" s="1"/>
    </row>
    <row r="59" spans="1:18" x14ac:dyDescent="0.25">
      <c r="A59" s="106">
        <v>54</v>
      </c>
      <c r="C59" s="1" t="s">
        <v>144</v>
      </c>
      <c r="G59" s="6">
        <v>300</v>
      </c>
      <c r="H59" s="52">
        <f>+'2013 Budget'!AD59</f>
        <v>300</v>
      </c>
      <c r="I59" s="7">
        <f t="shared" ref="I59:I61" si="29">IF(H59=0,"NA",(+G59-H59)/H59)</f>
        <v>0</v>
      </c>
      <c r="J59" s="52">
        <f>+'Prior Year Actuals'!R59</f>
        <v>524.92999999999995</v>
      </c>
      <c r="K59" s="7">
        <f>IF(J59=0,"NA",(+G59-J59)/J59)</f>
        <v>-0.42849522793515321</v>
      </c>
      <c r="L59" s="52">
        <f>+'2011 Actuals'!R59</f>
        <v>69.84</v>
      </c>
      <c r="M59" s="6">
        <v>-366</v>
      </c>
      <c r="O59" s="108">
        <f>VLOOKUP($A59,Cur_Actuals,Cur_Month+18)</f>
        <v>-39.270000000000003</v>
      </c>
      <c r="P59" s="108">
        <f t="shared" ref="P59:P60" si="30">VLOOKUP($A59,Cur_Budget,Cur_Month+18)</f>
        <v>250</v>
      </c>
      <c r="Q59" s="7">
        <f>IF(P59=0,"NA",(+O59-P59)/P59)</f>
        <v>-1.1570799999999999</v>
      </c>
    </row>
    <row r="60" spans="1:18" ht="30" x14ac:dyDescent="0.25">
      <c r="A60" s="106">
        <v>55</v>
      </c>
      <c r="C60" s="1" t="s">
        <v>128</v>
      </c>
      <c r="G60" s="6">
        <v>300</v>
      </c>
      <c r="H60" s="52">
        <f>+'2013 Budget'!AD60</f>
        <v>399.95999999999987</v>
      </c>
      <c r="I60" s="7">
        <f t="shared" si="29"/>
        <v>-0.24992499249924968</v>
      </c>
      <c r="J60" s="52">
        <f>+'Prior Year Actuals'!R60</f>
        <v>193.12</v>
      </c>
      <c r="K60" s="7">
        <f>IF(J60=0,"NA",(+G60-J60)/J60)</f>
        <v>0.55343827671913837</v>
      </c>
      <c r="L60" s="52">
        <f>+'2011 Actuals'!R60</f>
        <v>0</v>
      </c>
      <c r="M60" s="6">
        <v>0</v>
      </c>
      <c r="O60" s="108">
        <f>VLOOKUP($A60,Cur_Actuals,Cur_Month+18)</f>
        <v>1050.23</v>
      </c>
      <c r="P60" s="108">
        <f t="shared" si="30"/>
        <v>333.2999999999999</v>
      </c>
      <c r="Q60" s="7">
        <f>IF(P60=0,"NA",(+O60-P60)/P60)</f>
        <v>2.1510051005100519</v>
      </c>
      <c r="R60" s="9" t="s">
        <v>232</v>
      </c>
    </row>
    <row r="61" spans="1:18" s="5" customFormat="1" x14ac:dyDescent="0.25">
      <c r="A61" s="106">
        <v>56</v>
      </c>
      <c r="B61" s="27" t="s">
        <v>127</v>
      </c>
      <c r="C61" s="27"/>
      <c r="D61" s="27"/>
      <c r="E61" s="51"/>
      <c r="F61" s="51"/>
      <c r="G61" s="27">
        <f>SUM(G59:G60)</f>
        <v>600</v>
      </c>
      <c r="H61" s="27">
        <f>SUM(H59:H60)</f>
        <v>699.95999999999981</v>
      </c>
      <c r="I61" s="28">
        <f t="shared" si="29"/>
        <v>-0.14280816046631212</v>
      </c>
      <c r="J61" s="27">
        <f>SUM(J59:J60)</f>
        <v>718.05</v>
      </c>
      <c r="K61" s="28">
        <f>IF(J61=0,"NA",(+G61-J61)/J61)</f>
        <v>-0.16440359306454977</v>
      </c>
      <c r="L61" s="51">
        <f>SUM(L59:L60)</f>
        <v>69.84</v>
      </c>
      <c r="M61" s="51">
        <f>SUM(M59:M60)</f>
        <v>-366</v>
      </c>
      <c r="O61" s="27">
        <f>SUM(O59:O60)</f>
        <v>1010.96</v>
      </c>
      <c r="P61" s="27">
        <f>SUM(P59:P60)</f>
        <v>583.29999999999995</v>
      </c>
      <c r="Q61" s="28">
        <f>IF(P61=0,"NA",(+O61-P61)/P61)</f>
        <v>0.73317332418995396</v>
      </c>
      <c r="R61" s="14"/>
    </row>
    <row r="62" spans="1:18" ht="5.25" customHeight="1" x14ac:dyDescent="0.25">
      <c r="A62" s="106">
        <v>57</v>
      </c>
      <c r="I62" s="8"/>
      <c r="L62" s="1"/>
      <c r="M62" s="1"/>
    </row>
    <row r="63" spans="1:18" x14ac:dyDescent="0.25">
      <c r="A63" s="106">
        <v>58</v>
      </c>
      <c r="B63" s="27" t="s">
        <v>36</v>
      </c>
      <c r="C63" s="30"/>
      <c r="D63" s="30"/>
      <c r="E63" s="30"/>
      <c r="F63" s="30"/>
      <c r="G63" s="31">
        <v>200</v>
      </c>
      <c r="H63" s="202">
        <f>+'2013 Budget'!AD63</f>
        <v>200.04000000000008</v>
      </c>
      <c r="I63" s="28">
        <f>IF(H63=0,"NA",(+G63-H63)/H63)</f>
        <v>-1.9996000799878669E-4</v>
      </c>
      <c r="J63" s="202">
        <f>+'Prior Year Actuals'!R63</f>
        <v>223.73</v>
      </c>
      <c r="K63" s="28">
        <f>IF(J63=0,"NA",(+G63-J63)/J63)</f>
        <v>-0.1060653466231618</v>
      </c>
      <c r="L63" s="202">
        <f>+'2011 Actuals'!R63</f>
        <v>135.97999999999999</v>
      </c>
      <c r="M63" s="31">
        <v>164</v>
      </c>
      <c r="O63" s="202">
        <f>VLOOKUP($A63,Cur_Actuals,Cur_Month+18)</f>
        <v>240</v>
      </c>
      <c r="P63" s="202">
        <f t="shared" ref="P63" si="31">VLOOKUP($A63,Cur_Budget,Cur_Month+18)</f>
        <v>166.70000000000005</v>
      </c>
      <c r="Q63" s="28">
        <f>IF(P63=0,"NA",(+O63-P63)/P63)</f>
        <v>0.43971205758848192</v>
      </c>
    </row>
    <row r="64" spans="1:18" ht="6" customHeight="1" x14ac:dyDescent="0.25">
      <c r="A64" s="106">
        <v>59</v>
      </c>
      <c r="I64" s="8"/>
      <c r="L64" s="1"/>
      <c r="M64" s="1"/>
    </row>
    <row r="65" spans="1:18" x14ac:dyDescent="0.25">
      <c r="A65" s="106">
        <v>60</v>
      </c>
      <c r="B65" s="5" t="s">
        <v>37</v>
      </c>
      <c r="I65" s="8"/>
      <c r="L65" s="1"/>
      <c r="M65" s="1"/>
    </row>
    <row r="66" spans="1:18" x14ac:dyDescent="0.25">
      <c r="A66" s="106">
        <v>61</v>
      </c>
      <c r="C66" s="1" t="s">
        <v>38</v>
      </c>
      <c r="G66" s="6">
        <v>300</v>
      </c>
      <c r="H66" s="52">
        <f>+'2013 Budget'!AD66</f>
        <v>300</v>
      </c>
      <c r="I66" s="7">
        <f t="shared" ref="I66:I71" si="32">IF(H66=0,"NA",(+G66-H66)/H66)</f>
        <v>0</v>
      </c>
      <c r="J66" s="52">
        <f>+'Prior Year Actuals'!R66</f>
        <v>0</v>
      </c>
      <c r="K66" s="7" t="str">
        <f t="shared" ref="K66:K71" si="33">IF(J66=0,"NA",(+G66-J66)/J66)</f>
        <v>NA</v>
      </c>
      <c r="L66" s="52">
        <f>+'2011 Actuals'!R66</f>
        <v>0</v>
      </c>
      <c r="M66" s="6">
        <v>350</v>
      </c>
      <c r="O66" s="108">
        <f>VLOOKUP($A66,Cur_Actuals,Cur_Month+18)</f>
        <v>99.95</v>
      </c>
      <c r="P66" s="108">
        <f t="shared" ref="P66:P70" si="34">VLOOKUP($A66,Cur_Budget,Cur_Month+18)</f>
        <v>150</v>
      </c>
      <c r="Q66" s="7">
        <f t="shared" ref="Q66:Q71" si="35">IF(P66=0,"NA",(+O66-P66)/P66)</f>
        <v>-0.33366666666666667</v>
      </c>
    </row>
    <row r="67" spans="1:18" x14ac:dyDescent="0.25">
      <c r="A67" s="106">
        <v>62</v>
      </c>
      <c r="C67" s="1" t="s">
        <v>39</v>
      </c>
      <c r="G67" s="6">
        <v>800</v>
      </c>
      <c r="H67" s="52">
        <f>+'2013 Budget'!AD67</f>
        <v>1000</v>
      </c>
      <c r="I67" s="7">
        <f t="shared" si="32"/>
        <v>-0.2</v>
      </c>
      <c r="J67" s="52">
        <f>+'Prior Year Actuals'!R67</f>
        <v>948.86</v>
      </c>
      <c r="K67" s="7">
        <f t="shared" si="33"/>
        <v>-0.15688299643783069</v>
      </c>
      <c r="L67" s="52">
        <f>+'2011 Actuals'!R67</f>
        <v>1062</v>
      </c>
      <c r="M67" s="6">
        <v>1094</v>
      </c>
      <c r="O67" s="108">
        <f>VLOOKUP($A67,Cur_Actuals,Cur_Month+18)</f>
        <v>0</v>
      </c>
      <c r="P67" s="108">
        <f t="shared" si="34"/>
        <v>1000</v>
      </c>
      <c r="Q67" s="7">
        <f t="shared" si="35"/>
        <v>-1</v>
      </c>
    </row>
    <row r="68" spans="1:18" x14ac:dyDescent="0.25">
      <c r="A68" s="106">
        <v>63</v>
      </c>
      <c r="C68" s="1" t="s">
        <v>40</v>
      </c>
      <c r="G68" s="6">
        <v>700</v>
      </c>
      <c r="H68" s="52">
        <f>+'2013 Budget'!AD68</f>
        <v>700</v>
      </c>
      <c r="I68" s="7">
        <f t="shared" si="32"/>
        <v>0</v>
      </c>
      <c r="J68" s="52">
        <f>+'Prior Year Actuals'!R68</f>
        <v>1020</v>
      </c>
      <c r="K68" s="7">
        <f t="shared" si="33"/>
        <v>-0.31372549019607843</v>
      </c>
      <c r="L68" s="52">
        <f>+'2011 Actuals'!R68</f>
        <v>150</v>
      </c>
      <c r="M68" s="6">
        <v>1261</v>
      </c>
      <c r="O68" s="108">
        <f>VLOOKUP($A68,Cur_Actuals,Cur_Month+18)</f>
        <v>950.96</v>
      </c>
      <c r="P68" s="108">
        <f t="shared" si="34"/>
        <v>700</v>
      </c>
      <c r="Q68" s="7">
        <f t="shared" si="35"/>
        <v>0.35851428571428579</v>
      </c>
    </row>
    <row r="69" spans="1:18" x14ac:dyDescent="0.25">
      <c r="A69" s="106">
        <v>64</v>
      </c>
      <c r="C69" s="1" t="s">
        <v>41</v>
      </c>
      <c r="G69" s="6">
        <v>500</v>
      </c>
      <c r="H69" s="52">
        <f>+'2013 Budget'!AD69</f>
        <v>600</v>
      </c>
      <c r="I69" s="7">
        <f t="shared" si="32"/>
        <v>-0.16666666666666666</v>
      </c>
      <c r="J69" s="52">
        <f>+'Prior Year Actuals'!R69</f>
        <v>418.93</v>
      </c>
      <c r="K69" s="7">
        <f t="shared" si="33"/>
        <v>0.19351681665194662</v>
      </c>
      <c r="L69" s="52">
        <f>+'2011 Actuals'!R69</f>
        <v>338</v>
      </c>
      <c r="M69" s="6">
        <v>422</v>
      </c>
      <c r="O69" s="108">
        <f>VLOOKUP($A69,Cur_Actuals,Cur_Month+18)</f>
        <v>-117.80999999999999</v>
      </c>
      <c r="P69" s="108">
        <f t="shared" si="34"/>
        <v>500</v>
      </c>
      <c r="Q69" s="7">
        <f t="shared" si="35"/>
        <v>-1.2356199999999999</v>
      </c>
    </row>
    <row r="70" spans="1:18" x14ac:dyDescent="0.25">
      <c r="A70" s="106">
        <v>65</v>
      </c>
      <c r="C70" s="1" t="s">
        <v>42</v>
      </c>
      <c r="G70" s="208">
        <v>800</v>
      </c>
      <c r="H70" s="52">
        <f>+'2013 Budget'!AD70</f>
        <v>800.03999999999985</v>
      </c>
      <c r="I70" s="7">
        <f t="shared" si="32"/>
        <v>-4.9997500124806189E-5</v>
      </c>
      <c r="J70" s="52">
        <f>+'Prior Year Actuals'!R70</f>
        <v>0</v>
      </c>
      <c r="K70" s="7" t="str">
        <f t="shared" si="33"/>
        <v>NA</v>
      </c>
      <c r="L70" s="52">
        <f>+'2011 Actuals'!R70</f>
        <v>1335</v>
      </c>
      <c r="M70" s="6">
        <v>1084</v>
      </c>
      <c r="O70" s="108">
        <f>VLOOKUP($A70,Cur_Actuals,Cur_Month+18)</f>
        <v>0</v>
      </c>
      <c r="P70" s="108">
        <f t="shared" si="34"/>
        <v>666.69999999999993</v>
      </c>
      <c r="Q70" s="7">
        <f t="shared" si="35"/>
        <v>-1</v>
      </c>
    </row>
    <row r="71" spans="1:18" s="5" customFormat="1" x14ac:dyDescent="0.25">
      <c r="A71" s="106">
        <v>66</v>
      </c>
      <c r="B71" s="27" t="s">
        <v>43</v>
      </c>
      <c r="C71" s="27"/>
      <c r="D71" s="27"/>
      <c r="E71" s="51"/>
      <c r="F71" s="51"/>
      <c r="G71" s="27">
        <f>SUM(G66:G70)</f>
        <v>3100</v>
      </c>
      <c r="H71" s="27">
        <f>SUM(H66:H70)</f>
        <v>3400.04</v>
      </c>
      <c r="I71" s="28">
        <f t="shared" si="32"/>
        <v>-8.8246020635051339E-2</v>
      </c>
      <c r="J71" s="27">
        <f>SUM(J66:J70)</f>
        <v>2387.79</v>
      </c>
      <c r="K71" s="28">
        <f t="shared" si="33"/>
        <v>0.29827162355148484</v>
      </c>
      <c r="L71" s="51">
        <f>SUM(L66:L70)</f>
        <v>2885</v>
      </c>
      <c r="M71" s="51">
        <f>SUM(M66:M70)</f>
        <v>4211</v>
      </c>
      <c r="O71" s="27">
        <f>SUM(O66:O70)</f>
        <v>933.10000000000014</v>
      </c>
      <c r="P71" s="27">
        <f>SUM(P66:P70)</f>
        <v>3016.7</v>
      </c>
      <c r="Q71" s="28">
        <f t="shared" si="35"/>
        <v>-0.69068850067955034</v>
      </c>
      <c r="R71" s="14"/>
    </row>
    <row r="72" spans="1:18" ht="6" customHeight="1" x14ac:dyDescent="0.25">
      <c r="A72" s="106">
        <v>67</v>
      </c>
      <c r="I72" s="8"/>
      <c r="L72" s="1"/>
      <c r="M72" s="1"/>
    </row>
    <row r="73" spans="1:18" x14ac:dyDescent="0.25">
      <c r="A73" s="106">
        <v>68</v>
      </c>
      <c r="B73" s="5" t="s">
        <v>44</v>
      </c>
      <c r="I73" s="8"/>
      <c r="L73" s="1"/>
      <c r="M73" s="1"/>
    </row>
    <row r="74" spans="1:18" ht="45" x14ac:dyDescent="0.25">
      <c r="A74" s="106">
        <v>69</v>
      </c>
      <c r="C74" s="1" t="s">
        <v>45</v>
      </c>
      <c r="G74" s="6">
        <v>5200</v>
      </c>
      <c r="H74" s="52">
        <f>+'2013 Budget'!AD74</f>
        <v>5499.96</v>
      </c>
      <c r="I74" s="7">
        <f t="shared" ref="I74:I82" si="36">IF(H74=0,"NA",(+G74-H74)/H74)</f>
        <v>-5.4538578462388826E-2</v>
      </c>
      <c r="J74" s="52">
        <f>+'Prior Year Actuals'!R74</f>
        <v>4993.9600000000009</v>
      </c>
      <c r="K74" s="7">
        <f t="shared" ref="K74:K82" si="37">IF(J74=0,"NA",(+G74-J74)/J74)</f>
        <v>4.125783947007966E-2</v>
      </c>
      <c r="L74" s="52">
        <f>+'2011 Actuals'!R74</f>
        <v>6754.8700000000008</v>
      </c>
      <c r="M74" s="6">
        <v>6352</v>
      </c>
      <c r="O74" s="108">
        <f t="shared" ref="O74:O80" si="38">VLOOKUP($A74,Cur_Actuals,Cur_Month+18)</f>
        <v>4148.04</v>
      </c>
      <c r="P74" s="108">
        <f t="shared" ref="P74:P80" si="39">VLOOKUP($A74,Cur_Budget,Cur_Month+18)</f>
        <v>4583.3</v>
      </c>
      <c r="Q74" s="7">
        <f t="shared" ref="Q74:Q82" si="40">IF(P74=0,"NA",(+O74-P74)/P74)</f>
        <v>-9.4966508847337122E-2</v>
      </c>
      <c r="R74" s="9" t="s">
        <v>247</v>
      </c>
    </row>
    <row r="75" spans="1:18" x14ac:dyDescent="0.25">
      <c r="A75" s="106">
        <v>70</v>
      </c>
      <c r="C75" s="1" t="s">
        <v>46</v>
      </c>
      <c r="G75" s="6">
        <v>4500</v>
      </c>
      <c r="H75" s="52">
        <f>+'2013 Budget'!AD75</f>
        <v>5000.04</v>
      </c>
      <c r="I75" s="7">
        <f t="shared" si="36"/>
        <v>-0.10000719994240045</v>
      </c>
      <c r="J75" s="52">
        <f>+'Prior Year Actuals'!R75</f>
        <v>4481.5</v>
      </c>
      <c r="K75" s="7">
        <f t="shared" si="37"/>
        <v>4.1280821153631599E-3</v>
      </c>
      <c r="L75" s="52">
        <f>+'2011 Actuals'!R75</f>
        <v>5102.2199999999993</v>
      </c>
      <c r="M75" s="6">
        <v>5514</v>
      </c>
      <c r="O75" s="108">
        <f t="shared" si="38"/>
        <v>3978.22</v>
      </c>
      <c r="P75" s="108">
        <f t="shared" si="39"/>
        <v>4166.7</v>
      </c>
      <c r="Q75" s="7">
        <f t="shared" si="40"/>
        <v>-4.5234838121295036E-2</v>
      </c>
    </row>
    <row r="76" spans="1:18" x14ac:dyDescent="0.25">
      <c r="A76" s="106">
        <v>71</v>
      </c>
      <c r="C76" s="1" t="s">
        <v>145</v>
      </c>
      <c r="G76" s="6">
        <v>500</v>
      </c>
      <c r="H76" s="52">
        <f>+'2013 Budget'!AD76</f>
        <v>500.04000000000013</v>
      </c>
      <c r="I76" s="7">
        <f t="shared" si="36"/>
        <v>-7.9993600512227297E-5</v>
      </c>
      <c r="J76" s="52">
        <f>+'Prior Year Actuals'!R76</f>
        <v>168</v>
      </c>
      <c r="K76" s="7">
        <f t="shared" si="37"/>
        <v>1.9761904761904763</v>
      </c>
      <c r="L76" s="52">
        <f>+'2011 Actuals'!R76</f>
        <v>490.5</v>
      </c>
      <c r="M76" s="6">
        <v>814</v>
      </c>
      <c r="O76" s="108">
        <f t="shared" si="38"/>
        <v>632.45000000000005</v>
      </c>
      <c r="P76" s="108">
        <f t="shared" si="39"/>
        <v>416.7000000000001</v>
      </c>
      <c r="Q76" s="7">
        <f t="shared" si="40"/>
        <v>0.51775857931365465</v>
      </c>
    </row>
    <row r="77" spans="1:18" x14ac:dyDescent="0.25">
      <c r="A77" s="106">
        <v>72</v>
      </c>
      <c r="C77" s="1" t="s">
        <v>47</v>
      </c>
      <c r="G77" s="6">
        <v>0</v>
      </c>
      <c r="H77" s="52">
        <f>+'2013 Budget'!AD77</f>
        <v>0</v>
      </c>
      <c r="I77" s="7" t="str">
        <f t="shared" si="36"/>
        <v>NA</v>
      </c>
      <c r="J77" s="52">
        <f>+'Prior Year Actuals'!R77</f>
        <v>379.5</v>
      </c>
      <c r="K77" s="7">
        <f t="shared" si="37"/>
        <v>-1</v>
      </c>
      <c r="L77" s="52">
        <f>+'2011 Actuals'!R77</f>
        <v>1519.9</v>
      </c>
      <c r="M77" s="6">
        <v>1709</v>
      </c>
      <c r="O77" s="108">
        <f t="shared" si="38"/>
        <v>0</v>
      </c>
      <c r="P77" s="108">
        <f t="shared" si="39"/>
        <v>0</v>
      </c>
      <c r="Q77" s="7" t="str">
        <f t="shared" si="40"/>
        <v>NA</v>
      </c>
    </row>
    <row r="78" spans="1:18" x14ac:dyDescent="0.25">
      <c r="A78" s="106">
        <v>73</v>
      </c>
      <c r="C78" s="1" t="s">
        <v>48</v>
      </c>
      <c r="G78" s="6">
        <v>19000</v>
      </c>
      <c r="H78" s="52">
        <f>+'2013 Budget'!AD78</f>
        <v>17000.04</v>
      </c>
      <c r="I78" s="7">
        <f t="shared" si="36"/>
        <v>0.11764442907193154</v>
      </c>
      <c r="J78" s="52">
        <f>+'Prior Year Actuals'!R78</f>
        <v>18310.929999999997</v>
      </c>
      <c r="K78" s="7">
        <f t="shared" si="37"/>
        <v>3.763162220597225E-2</v>
      </c>
      <c r="L78" s="52">
        <f>+'2011 Actuals'!R78</f>
        <v>19805.919999999998</v>
      </c>
      <c r="M78" s="6">
        <v>21235</v>
      </c>
      <c r="O78" s="108">
        <f t="shared" si="38"/>
        <v>15988.25</v>
      </c>
      <c r="P78" s="108">
        <f t="shared" si="39"/>
        <v>14166.7</v>
      </c>
      <c r="Q78" s="7">
        <f t="shared" si="40"/>
        <v>0.12857969745953532</v>
      </c>
      <c r="R78" s="9" t="s">
        <v>233</v>
      </c>
    </row>
    <row r="79" spans="1:18" x14ac:dyDescent="0.25">
      <c r="A79" s="106">
        <v>74</v>
      </c>
      <c r="C79" s="1" t="s">
        <v>49</v>
      </c>
      <c r="G79" s="6">
        <v>825</v>
      </c>
      <c r="H79" s="52">
        <f>+'2013 Budget'!AD79</f>
        <v>825</v>
      </c>
      <c r="I79" s="7">
        <f t="shared" si="36"/>
        <v>0</v>
      </c>
      <c r="J79" s="52">
        <f>+'Prior Year Actuals'!R79</f>
        <v>554.16999999999996</v>
      </c>
      <c r="K79" s="7">
        <f t="shared" si="37"/>
        <v>0.48871284984751984</v>
      </c>
      <c r="L79" s="52">
        <f>+'2011 Actuals'!R79</f>
        <v>2509.48</v>
      </c>
      <c r="M79" s="6">
        <v>1645</v>
      </c>
      <c r="O79" s="108">
        <f t="shared" si="38"/>
        <v>806.03</v>
      </c>
      <c r="P79" s="108">
        <f t="shared" si="39"/>
        <v>687.5</v>
      </c>
      <c r="Q79" s="7">
        <f t="shared" si="40"/>
        <v>0.17240727272727269</v>
      </c>
    </row>
    <row r="80" spans="1:18" x14ac:dyDescent="0.25">
      <c r="A80" s="106">
        <v>75</v>
      </c>
      <c r="C80" s="1" t="s">
        <v>50</v>
      </c>
      <c r="G80" s="6">
        <v>1600</v>
      </c>
      <c r="H80" s="52">
        <f>+'2013 Budget'!AD80</f>
        <v>1500</v>
      </c>
      <c r="I80" s="7">
        <f t="shared" si="36"/>
        <v>6.6666666666666666E-2</v>
      </c>
      <c r="J80" s="52">
        <f>+'Prior Year Actuals'!R80</f>
        <v>1295.25</v>
      </c>
      <c r="K80" s="7">
        <f t="shared" si="37"/>
        <v>0.23528276394518433</v>
      </c>
      <c r="L80" s="52">
        <f>+'2011 Actuals'!R80</f>
        <v>404.26</v>
      </c>
      <c r="M80" s="6">
        <v>0</v>
      </c>
      <c r="O80" s="108">
        <f t="shared" si="38"/>
        <v>1376.86</v>
      </c>
      <c r="P80" s="108">
        <f t="shared" si="39"/>
        <v>1250</v>
      </c>
      <c r="Q80" s="7">
        <f t="shared" si="40"/>
        <v>0.10148799999999993</v>
      </c>
    </row>
    <row r="81" spans="1:21" s="5" customFormat="1" x14ac:dyDescent="0.25">
      <c r="A81" s="106">
        <v>76</v>
      </c>
      <c r="B81" s="27" t="s">
        <v>53</v>
      </c>
      <c r="C81" s="27"/>
      <c r="D81" s="27"/>
      <c r="E81" s="51"/>
      <c r="F81" s="51"/>
      <c r="G81" s="27">
        <f>SUM(G74:G80)</f>
        <v>31625</v>
      </c>
      <c r="H81" s="27">
        <f>SUM(H74:H80)</f>
        <v>30325.08</v>
      </c>
      <c r="I81" s="28">
        <f t="shared" si="36"/>
        <v>4.2866168860890001E-2</v>
      </c>
      <c r="J81" s="27">
        <f>SUM(J74:J80)</f>
        <v>30183.309999999998</v>
      </c>
      <c r="K81" s="28">
        <f t="shared" si="37"/>
        <v>4.7764476460666588E-2</v>
      </c>
      <c r="L81" s="51">
        <f>SUM(L74:L80)</f>
        <v>36587.15</v>
      </c>
      <c r="M81" s="51">
        <f>SUM(M74:M80)</f>
        <v>37269</v>
      </c>
      <c r="O81" s="27">
        <f>SUM(O74:O80)</f>
        <v>26929.85</v>
      </c>
      <c r="P81" s="27">
        <f>SUM(P74:P80)</f>
        <v>25270.9</v>
      </c>
      <c r="Q81" s="28">
        <f t="shared" si="40"/>
        <v>6.5646652869505911E-2</v>
      </c>
      <c r="R81" s="14"/>
    </row>
    <row r="82" spans="1:21" x14ac:dyDescent="0.25">
      <c r="A82" s="106">
        <v>77</v>
      </c>
      <c r="B82" s="27" t="s">
        <v>126</v>
      </c>
      <c r="C82" s="32"/>
      <c r="D82" s="32"/>
      <c r="E82" s="32"/>
      <c r="F82" s="32"/>
      <c r="G82" s="27">
        <f>+G41+G43+G50+G56+G63+G71+G81+G61</f>
        <v>58575</v>
      </c>
      <c r="H82" s="27">
        <f>+H41+H43+H50+H56+H63+H71+H81+H61</f>
        <v>56975.040000000001</v>
      </c>
      <c r="I82" s="28">
        <f t="shared" si="36"/>
        <v>2.8081770543732818E-2</v>
      </c>
      <c r="J82" s="27">
        <f>+J41+J43+J50+J56+J63+J71+J81+J61</f>
        <v>53419.54</v>
      </c>
      <c r="K82" s="28">
        <f t="shared" si="37"/>
        <v>9.6508880458349114E-2</v>
      </c>
      <c r="L82" s="51">
        <f>+L41+L43+L50+L56+L63+L71+L81+L61</f>
        <v>64010.14</v>
      </c>
      <c r="M82" s="51">
        <f>+M41+M43+M50+M56+M63+M71+M81+M61</f>
        <v>64017</v>
      </c>
      <c r="O82" s="27">
        <f>+O41+O43+O50+O56+O63+O71+O81+O61</f>
        <v>43391.229999999996</v>
      </c>
      <c r="P82" s="27">
        <f>+P41+P43+P50+P56+P63+P71+P81+P61</f>
        <v>47679.200000000004</v>
      </c>
      <c r="Q82" s="28">
        <f t="shared" si="40"/>
        <v>-8.9933765667209356E-2</v>
      </c>
    </row>
    <row r="83" spans="1:21" ht="8.25" customHeight="1" x14ac:dyDescent="0.25">
      <c r="A83" s="106">
        <v>78</v>
      </c>
      <c r="I83" s="8"/>
      <c r="L83" s="1"/>
      <c r="M83" s="1"/>
    </row>
    <row r="84" spans="1:21" ht="18.75" x14ac:dyDescent="0.25">
      <c r="A84" s="106">
        <v>79</v>
      </c>
      <c r="B84" s="11" t="s">
        <v>51</v>
      </c>
      <c r="F84" s="232" t="s">
        <v>244</v>
      </c>
      <c r="I84" s="8"/>
      <c r="L84" s="1"/>
      <c r="M84" s="1"/>
    </row>
    <row r="85" spans="1:21" x14ac:dyDescent="0.25">
      <c r="A85" s="106">
        <v>80</v>
      </c>
      <c r="B85" s="5" t="s">
        <v>52</v>
      </c>
      <c r="E85" s="1" t="s">
        <v>245</v>
      </c>
      <c r="F85" s="232"/>
      <c r="G85" s="45"/>
      <c r="I85" s="8"/>
      <c r="L85" s="1"/>
      <c r="M85" s="1"/>
    </row>
    <row r="86" spans="1:21" x14ac:dyDescent="0.25">
      <c r="A86" s="106">
        <v>81</v>
      </c>
      <c r="C86" s="1" t="s">
        <v>54</v>
      </c>
      <c r="F86" s="52">
        <f>ROUND(+$H86*(1+LEFT($E$114,1)/100),0)</f>
        <v>90631</v>
      </c>
      <c r="G86" s="251">
        <v>83079</v>
      </c>
      <c r="H86" s="52">
        <f>+'2013 Budget'!AD86</f>
        <v>90630.96</v>
      </c>
      <c r="I86" s="7">
        <f t="shared" ref="I86:I91" si="41">IF(H86=0,"NA",(+G86-H86)/H86)</f>
        <v>-8.3326492403920316E-2</v>
      </c>
      <c r="J86" s="52">
        <f>+'Prior Year Actuals'!R86</f>
        <v>81037.41</v>
      </c>
      <c r="K86" s="7">
        <f t="shared" ref="K86:K91" si="42">IF(J86=0,"NA",(+G86-J86)/J86)</f>
        <v>2.5193179298301813E-2</v>
      </c>
      <c r="L86" s="52">
        <f>+'2011 Actuals'!R86</f>
        <v>89731</v>
      </c>
      <c r="M86" s="6">
        <v>87117</v>
      </c>
      <c r="O86" s="108">
        <f>VLOOKUP($A86,Cur_Actuals,Cur_Month+18)</f>
        <v>74842.83</v>
      </c>
      <c r="P86" s="108">
        <f t="shared" ref="P86:P90" si="43">VLOOKUP($A86,Cur_Budget,Cur_Month+18)</f>
        <v>75525.8</v>
      </c>
      <c r="Q86" s="7">
        <f t="shared" ref="Q86:Q91" si="44">IF(P86=0,"NA",(+O86-P86)/P86)</f>
        <v>-9.042870118555528E-3</v>
      </c>
      <c r="T86" s="209">
        <v>0</v>
      </c>
      <c r="U86" s="211">
        <f>+T86/H86</f>
        <v>0</v>
      </c>
    </row>
    <row r="87" spans="1:21" x14ac:dyDescent="0.25">
      <c r="A87" s="106">
        <v>82</v>
      </c>
      <c r="C87" s="1" t="s">
        <v>55</v>
      </c>
      <c r="G87" s="251">
        <v>2750</v>
      </c>
      <c r="H87" s="52">
        <f>+'2013 Budget'!AD87</f>
        <v>3000</v>
      </c>
      <c r="I87" s="7">
        <f t="shared" si="41"/>
        <v>-8.3333333333333329E-2</v>
      </c>
      <c r="J87" s="52">
        <f>+'Prior Year Actuals'!R87</f>
        <v>2750</v>
      </c>
      <c r="K87" s="7">
        <f t="shared" si="42"/>
        <v>0</v>
      </c>
      <c r="L87" s="52">
        <f>+'2011 Actuals'!R87</f>
        <v>5499.96</v>
      </c>
      <c r="M87" s="6">
        <v>5500</v>
      </c>
      <c r="O87" s="108">
        <f>VLOOKUP($A87,Cur_Actuals,Cur_Month+18)</f>
        <v>2500</v>
      </c>
      <c r="P87" s="108">
        <f t="shared" si="43"/>
        <v>2500</v>
      </c>
      <c r="Q87" s="7">
        <f t="shared" si="44"/>
        <v>0</v>
      </c>
      <c r="R87" s="9" t="s">
        <v>257</v>
      </c>
    </row>
    <row r="88" spans="1:21" x14ac:dyDescent="0.25">
      <c r="A88" s="106">
        <v>83</v>
      </c>
      <c r="C88" s="1" t="s">
        <v>56</v>
      </c>
      <c r="G88" s="251">
        <v>34801</v>
      </c>
      <c r="H88" s="52">
        <f>+'2013 Budget'!AD88</f>
        <v>34034.039999999994</v>
      </c>
      <c r="I88" s="7">
        <f t="shared" si="41"/>
        <v>2.2535085461496976E-2</v>
      </c>
      <c r="J88" s="52">
        <f>+'Prior Year Actuals'!R88</f>
        <v>31027.26</v>
      </c>
      <c r="K88" s="7">
        <f t="shared" si="42"/>
        <v>0.12162659545187045</v>
      </c>
      <c r="L88" s="52">
        <f>+'2011 Actuals'!R88</f>
        <v>34203.35</v>
      </c>
      <c r="M88" s="6">
        <v>33221</v>
      </c>
      <c r="O88" s="108">
        <f>VLOOKUP($A88,Cur_Actuals,Cur_Month+18)</f>
        <v>28101.1</v>
      </c>
      <c r="P88" s="108">
        <f t="shared" si="43"/>
        <v>28361.699999999997</v>
      </c>
      <c r="Q88" s="7">
        <f t="shared" si="44"/>
        <v>-9.1884478010838058E-3</v>
      </c>
      <c r="R88" s="9" t="s">
        <v>139</v>
      </c>
    </row>
    <row r="89" spans="1:21" x14ac:dyDescent="0.25">
      <c r="A89" s="106">
        <v>84</v>
      </c>
      <c r="C89" s="1" t="s">
        <v>57</v>
      </c>
      <c r="G89" s="251">
        <v>3666</v>
      </c>
      <c r="H89" s="52">
        <f>+'2013 Budget'!AD89</f>
        <v>3999.9599999999996</v>
      </c>
      <c r="I89" s="7">
        <f t="shared" si="41"/>
        <v>-8.3490834908348993E-2</v>
      </c>
      <c r="J89" s="52">
        <f>+'Prior Year Actuals'!R89</f>
        <v>3880.9</v>
      </c>
      <c r="K89" s="7">
        <f t="shared" si="42"/>
        <v>-5.5373753510783601E-2</v>
      </c>
      <c r="L89" s="52">
        <f>+'2011 Actuals'!R89</f>
        <v>4048.31</v>
      </c>
      <c r="M89" s="6">
        <v>5289</v>
      </c>
      <c r="O89" s="108">
        <f>VLOOKUP($A89,Cur_Actuals,Cur_Month+18)</f>
        <v>3957.4</v>
      </c>
      <c r="P89" s="108">
        <f t="shared" si="43"/>
        <v>3333.2999999999997</v>
      </c>
      <c r="Q89" s="7">
        <f t="shared" si="44"/>
        <v>0.18723187231872332</v>
      </c>
    </row>
    <row r="90" spans="1:21" x14ac:dyDescent="0.25">
      <c r="A90" s="106">
        <v>85</v>
      </c>
      <c r="C90" s="1" t="s">
        <v>58</v>
      </c>
      <c r="G90" s="251">
        <v>2750</v>
      </c>
      <c r="H90" s="52">
        <f>+'2013 Budget'!AD90</f>
        <v>3000</v>
      </c>
      <c r="I90" s="7">
        <f t="shared" si="41"/>
        <v>-8.3333333333333329E-2</v>
      </c>
      <c r="J90" s="52">
        <f>+'Prior Year Actuals'!R90</f>
        <v>3000</v>
      </c>
      <c r="K90" s="7">
        <f t="shared" si="42"/>
        <v>-8.3333333333333329E-2</v>
      </c>
      <c r="L90" s="52">
        <f>+'2011 Actuals'!R90</f>
        <v>1527.92</v>
      </c>
      <c r="M90" s="6">
        <v>1180</v>
      </c>
      <c r="O90" s="108">
        <f>VLOOKUP($A90,Cur_Actuals,Cur_Month+18)</f>
        <v>2239.13</v>
      </c>
      <c r="P90" s="108">
        <f t="shared" si="43"/>
        <v>2500</v>
      </c>
      <c r="Q90" s="7">
        <f t="shared" si="44"/>
        <v>-0.10434799999999995</v>
      </c>
    </row>
    <row r="91" spans="1:21" s="5" customFormat="1" x14ac:dyDescent="0.25">
      <c r="A91" s="106">
        <v>86</v>
      </c>
      <c r="B91" s="33" t="s">
        <v>59</v>
      </c>
      <c r="C91" s="33"/>
      <c r="D91" s="33"/>
      <c r="E91" s="33"/>
      <c r="F91" s="33"/>
      <c r="G91" s="33">
        <f>SUM(G86:G90)</f>
        <v>127046</v>
      </c>
      <c r="H91" s="33">
        <f>SUM(H86:H90)</f>
        <v>134664.95999999999</v>
      </c>
      <c r="I91" s="34">
        <f t="shared" si="41"/>
        <v>-5.6577152660944555E-2</v>
      </c>
      <c r="J91" s="33">
        <f>SUM(J86:J90)</f>
        <v>121695.56999999999</v>
      </c>
      <c r="K91" s="34">
        <f t="shared" si="42"/>
        <v>4.3965692424136789E-2</v>
      </c>
      <c r="L91" s="33">
        <f>SUM(L86:L90)</f>
        <v>135010.54</v>
      </c>
      <c r="M91" s="33">
        <f>SUM(M86:M90)</f>
        <v>132307</v>
      </c>
      <c r="O91" s="33">
        <f>SUM(O86:O90)</f>
        <v>111640.45999999999</v>
      </c>
      <c r="P91" s="33">
        <f>SUM(P86:P90)</f>
        <v>112220.8</v>
      </c>
      <c r="Q91" s="34">
        <f t="shared" si="44"/>
        <v>-5.1714120733412257E-3</v>
      </c>
      <c r="R91" s="14"/>
    </row>
    <row r="92" spans="1:21" ht="6.75" customHeight="1" x14ac:dyDescent="0.25">
      <c r="A92" s="106">
        <v>87</v>
      </c>
      <c r="I92" s="8"/>
      <c r="L92" s="1"/>
      <c r="M92" s="1"/>
    </row>
    <row r="93" spans="1:21" x14ac:dyDescent="0.25">
      <c r="A93" s="106">
        <v>88</v>
      </c>
      <c r="B93" s="5" t="s">
        <v>60</v>
      </c>
      <c r="I93" s="8"/>
      <c r="L93" s="1"/>
      <c r="M93" s="1"/>
    </row>
    <row r="94" spans="1:21" x14ac:dyDescent="0.25">
      <c r="A94" s="106">
        <v>89</v>
      </c>
      <c r="C94" s="1" t="s">
        <v>61</v>
      </c>
      <c r="F94" s="52">
        <f>ROUND(+$H94*(1+LEFT($E$114,1)/100),0)</f>
        <v>11507</v>
      </c>
      <c r="G94" s="43">
        <f>+H94+T94</f>
        <v>11507.039999999999</v>
      </c>
      <c r="H94" s="52">
        <f>+'2013 Budget'!AD94</f>
        <v>11507.039999999999</v>
      </c>
      <c r="I94" s="7">
        <f t="shared" ref="I94:I96" si="45">IF(H94=0,"NA",(+G94-H94)/H94)</f>
        <v>0</v>
      </c>
      <c r="J94" s="52">
        <f>+'Prior Year Actuals'!R94</f>
        <v>10364.86</v>
      </c>
      <c r="K94" s="7">
        <f>IF(J94=0,"NA",(+G94-J94)/J94)</f>
        <v>0.11019733985794293</v>
      </c>
      <c r="L94" s="52">
        <f>+'2011 Actuals'!R94</f>
        <v>11307.12</v>
      </c>
      <c r="M94" s="6">
        <v>10978</v>
      </c>
      <c r="O94" s="108">
        <f>VLOOKUP($A94,Cur_Actuals,Cur_Month+18)</f>
        <v>9589.2000000000007</v>
      </c>
      <c r="P94" s="108">
        <f t="shared" ref="P94:P95" si="46">VLOOKUP($A94,Cur_Budget,Cur_Month+18)</f>
        <v>9589.1999999999989</v>
      </c>
      <c r="Q94" s="7">
        <f>IF(P94=0,"NA",(+O94-P94)/P94)</f>
        <v>1.8969146576834948E-16</v>
      </c>
      <c r="T94" s="209">
        <v>0</v>
      </c>
      <c r="U94" s="211">
        <f>+T94/H94</f>
        <v>0</v>
      </c>
    </row>
    <row r="95" spans="1:21" x14ac:dyDescent="0.25">
      <c r="A95" s="106">
        <v>90</v>
      </c>
      <c r="C95" s="1" t="s">
        <v>62</v>
      </c>
      <c r="G95" s="6">
        <v>5000</v>
      </c>
      <c r="H95" s="52">
        <f>+'2013 Budget'!AD95</f>
        <v>5000.04</v>
      </c>
      <c r="I95" s="7">
        <f t="shared" si="45"/>
        <v>-7.9999360005047194E-6</v>
      </c>
      <c r="J95" s="52">
        <f>+'Prior Year Actuals'!R95</f>
        <v>4583.2599999999993</v>
      </c>
      <c r="K95" s="7">
        <f>IF(J95=0,"NA",(+G95-J95)/J95)</f>
        <v>9.0926545733822819E-2</v>
      </c>
      <c r="L95" s="52">
        <f>+'2011 Actuals'!R95</f>
        <v>4999.9199999999992</v>
      </c>
      <c r="M95" s="6">
        <v>5000</v>
      </c>
      <c r="O95" s="108">
        <f>VLOOKUP($A95,Cur_Actuals,Cur_Month+18)</f>
        <v>4166.6000000000004</v>
      </c>
      <c r="P95" s="108">
        <f t="shared" si="46"/>
        <v>4166.7</v>
      </c>
      <c r="Q95" s="7">
        <f>IF(P95=0,"NA",(+O95-P95)/P95)</f>
        <v>-2.3999808001405023E-5</v>
      </c>
    </row>
    <row r="96" spans="1:21" s="5" customFormat="1" x14ac:dyDescent="0.25">
      <c r="A96" s="106">
        <v>91</v>
      </c>
      <c r="B96" s="33" t="s">
        <v>63</v>
      </c>
      <c r="C96" s="33"/>
      <c r="D96" s="33"/>
      <c r="E96" s="33"/>
      <c r="F96" s="33"/>
      <c r="G96" s="33">
        <f>SUM(G94:G95)</f>
        <v>16507.04</v>
      </c>
      <c r="H96" s="33">
        <f>SUM(H94:H95)</f>
        <v>16507.079999999998</v>
      </c>
      <c r="I96" s="34">
        <f t="shared" si="45"/>
        <v>-2.4232026498469225E-6</v>
      </c>
      <c r="J96" s="33">
        <f>SUM(J94:J95)</f>
        <v>14948.119999999999</v>
      </c>
      <c r="K96" s="34">
        <f>IF(J96=0,"NA",(+G96-J96)/J96)</f>
        <v>0.10428869984988093</v>
      </c>
      <c r="L96" s="33">
        <f>SUM(L94:L95)</f>
        <v>16307.04</v>
      </c>
      <c r="M96" s="33">
        <f>SUM(M94:M95)</f>
        <v>15978</v>
      </c>
      <c r="O96" s="33">
        <f>SUM(O94:O95)</f>
        <v>13755.800000000001</v>
      </c>
      <c r="P96" s="33">
        <f>SUM(P94:P95)</f>
        <v>13755.899999999998</v>
      </c>
      <c r="Q96" s="34">
        <f>IF(P96=0,"NA",(+O96-P96)/P96)</f>
        <v>-7.269607949805235E-6</v>
      </c>
      <c r="R96" s="14"/>
    </row>
    <row r="97" spans="1:21" ht="4.5" customHeight="1" x14ac:dyDescent="0.25">
      <c r="A97" s="106">
        <v>92</v>
      </c>
      <c r="I97" s="8"/>
      <c r="L97" s="1"/>
      <c r="M97" s="1"/>
    </row>
    <row r="98" spans="1:21" x14ac:dyDescent="0.25">
      <c r="A98" s="106">
        <v>93</v>
      </c>
      <c r="B98" s="5" t="s">
        <v>64</v>
      </c>
      <c r="I98" s="8"/>
      <c r="L98" s="1"/>
      <c r="M98" s="1"/>
    </row>
    <row r="99" spans="1:21" x14ac:dyDescent="0.25">
      <c r="A99" s="106">
        <v>94</v>
      </c>
      <c r="C99" s="1" t="s">
        <v>61</v>
      </c>
      <c r="F99" s="52">
        <f>ROUND(+$H99*(1+LEFT($E$114,1)/100),0)</f>
        <v>13927</v>
      </c>
      <c r="G99" s="43">
        <f>+H99+T99</f>
        <v>13926.96</v>
      </c>
      <c r="H99" s="52">
        <f>+'2013 Budget'!AD99</f>
        <v>13926.96</v>
      </c>
      <c r="I99" s="7">
        <f t="shared" ref="I99:I101" si="47">IF(H99=0,"NA",(+G99-H99)/H99)</f>
        <v>0</v>
      </c>
      <c r="J99" s="52">
        <f>+'Prior Year Actuals'!R99</f>
        <v>12399.86</v>
      </c>
      <c r="K99" s="7">
        <f>IF(J99=0,"NA",(+G99-J99)/J99)</f>
        <v>0.12315461626179638</v>
      </c>
      <c r="L99" s="52">
        <f>+'2011 Actuals'!R99</f>
        <v>13527.12</v>
      </c>
      <c r="M99" s="6">
        <v>13133</v>
      </c>
      <c r="O99" s="108">
        <f>VLOOKUP($A99,Cur_Actuals,Cur_Month+18)</f>
        <v>11605.8</v>
      </c>
      <c r="P99" s="108">
        <f t="shared" ref="P99:P100" si="48">VLOOKUP($A99,Cur_Budget,Cur_Month+18)</f>
        <v>11605.8</v>
      </c>
      <c r="Q99" s="7">
        <f>IF(P99=0,"NA",(+O99-P99)/P99)</f>
        <v>0</v>
      </c>
      <c r="T99" s="209">
        <v>0</v>
      </c>
      <c r="U99" s="211">
        <f>+T99/H99</f>
        <v>0</v>
      </c>
    </row>
    <row r="100" spans="1:21" x14ac:dyDescent="0.25">
      <c r="A100" s="106">
        <v>95</v>
      </c>
      <c r="C100" s="1" t="s">
        <v>65</v>
      </c>
      <c r="G100" s="6">
        <v>750</v>
      </c>
      <c r="H100" s="52">
        <f>+'2013 Budget'!AD100</f>
        <v>750</v>
      </c>
      <c r="I100" s="7">
        <f t="shared" si="47"/>
        <v>0</v>
      </c>
      <c r="J100" s="52">
        <f>+'Prior Year Actuals'!R100</f>
        <v>595.63</v>
      </c>
      <c r="K100" s="7">
        <f>IF(J100=0,"NA",(+G100-J100)/J100)</f>
        <v>0.2591709618387254</v>
      </c>
      <c r="L100" s="52">
        <f>+'2011 Actuals'!R100</f>
        <v>648.75</v>
      </c>
      <c r="M100" s="6">
        <v>739</v>
      </c>
      <c r="O100" s="108">
        <f>VLOOKUP($A100,Cur_Actuals,Cur_Month+18)</f>
        <v>776.88</v>
      </c>
      <c r="P100" s="108">
        <f t="shared" si="48"/>
        <v>625</v>
      </c>
      <c r="Q100" s="7">
        <f>IF(P100=0,"NA",(+O100-P100)/P100)</f>
        <v>0.243008</v>
      </c>
    </row>
    <row r="101" spans="1:21" s="5" customFormat="1" x14ac:dyDescent="0.25">
      <c r="A101" s="106">
        <v>96</v>
      </c>
      <c r="B101" s="33" t="s">
        <v>66</v>
      </c>
      <c r="C101" s="33"/>
      <c r="D101" s="33"/>
      <c r="E101" s="33"/>
      <c r="F101" s="33"/>
      <c r="G101" s="33">
        <f>SUM(G99:G100)</f>
        <v>14676.96</v>
      </c>
      <c r="H101" s="33">
        <f>SUM(H99:H100)</f>
        <v>14676.96</v>
      </c>
      <c r="I101" s="34">
        <f t="shared" si="47"/>
        <v>0</v>
      </c>
      <c r="J101" s="33">
        <f>SUM(J99:J100)</f>
        <v>12995.49</v>
      </c>
      <c r="K101" s="34">
        <f>IF(J101=0,"NA",(+G101-J101)/J101)</f>
        <v>0.12938873409159635</v>
      </c>
      <c r="L101" s="33">
        <f>SUM(L99:L100)</f>
        <v>14175.87</v>
      </c>
      <c r="M101" s="33">
        <f>SUM(M99:M100)</f>
        <v>13872</v>
      </c>
      <c r="O101" s="33">
        <f>SUM(O99:O100)</f>
        <v>12382.679999999998</v>
      </c>
      <c r="P101" s="33">
        <f>SUM(P99:P100)</f>
        <v>12230.8</v>
      </c>
      <c r="Q101" s="34">
        <f>IF(P101=0,"NA",(+O101-P101)/P101)</f>
        <v>1.2417830395395167E-2</v>
      </c>
      <c r="R101" s="14"/>
    </row>
    <row r="102" spans="1:21" ht="6" customHeight="1" x14ac:dyDescent="0.25">
      <c r="A102" s="106">
        <v>97</v>
      </c>
      <c r="I102" s="8"/>
      <c r="L102" s="1"/>
      <c r="M102" s="1"/>
    </row>
    <row r="103" spans="1:21" x14ac:dyDescent="0.25">
      <c r="A103" s="106">
        <v>98</v>
      </c>
      <c r="B103" s="5" t="s">
        <v>67</v>
      </c>
      <c r="I103" s="8"/>
      <c r="L103" s="1"/>
      <c r="M103" s="1"/>
    </row>
    <row r="104" spans="1:21" x14ac:dyDescent="0.25">
      <c r="A104" s="106">
        <v>99</v>
      </c>
      <c r="C104" s="1" t="s">
        <v>61</v>
      </c>
      <c r="F104" s="52">
        <f>ROUND(+$H104*(1+LEFT($E$114,1)/100),0)</f>
        <v>35654</v>
      </c>
      <c r="G104" s="251">
        <v>36397</v>
      </c>
      <c r="H104" s="52">
        <f>+'2013 Budget'!AD104</f>
        <v>35654.039999999994</v>
      </c>
      <c r="I104" s="7">
        <f t="shared" ref="I104:I110" si="49">IF(H104=0,"NA",(+G104-H104)/H104)</f>
        <v>2.0838031258168962E-2</v>
      </c>
      <c r="J104" s="52">
        <f>+'Prior Year Actuals'!R104</f>
        <v>32041.24</v>
      </c>
      <c r="K104" s="7">
        <f t="shared" ref="K104:K110" si="50">IF(J104=0,"NA",(+G104-J104)/J104)</f>
        <v>0.13594230435526211</v>
      </c>
      <c r="L104" s="52">
        <f>+'2011 Actuals'!R104</f>
        <v>33246</v>
      </c>
      <c r="M104" s="6">
        <v>32277</v>
      </c>
      <c r="O104" s="108">
        <f t="shared" ref="O104:O109" si="51">VLOOKUP($A104,Cur_Actuals,Cur_Month+18)</f>
        <v>29711.599999999999</v>
      </c>
      <c r="P104" s="108">
        <f t="shared" ref="P104:P109" si="52">VLOOKUP($A104,Cur_Budget,Cur_Month+18)</f>
        <v>29711.699999999997</v>
      </c>
      <c r="Q104" s="7">
        <f t="shared" ref="Q104:Q110" si="53">IF(P104=0,"NA",(+O104-P104)/P104)</f>
        <v>-3.3656774940021884E-6</v>
      </c>
      <c r="R104" s="9" t="s">
        <v>135</v>
      </c>
      <c r="T104" s="209">
        <v>0</v>
      </c>
      <c r="U104" s="211">
        <f>+T104/H104</f>
        <v>0</v>
      </c>
    </row>
    <row r="105" spans="1:21" x14ac:dyDescent="0.25">
      <c r="A105" s="106">
        <v>100</v>
      </c>
      <c r="C105" s="1" t="s">
        <v>56</v>
      </c>
      <c r="G105" s="251">
        <v>4550</v>
      </c>
      <c r="H105" s="52">
        <f>+'2013 Budget'!AD105</f>
        <v>4742.04</v>
      </c>
      <c r="I105" s="7">
        <f t="shared" si="49"/>
        <v>-4.049733869811304E-2</v>
      </c>
      <c r="J105" s="52">
        <f>+'Prior Year Actuals'!R105</f>
        <v>4555.32</v>
      </c>
      <c r="K105" s="7">
        <f t="shared" si="50"/>
        <v>-1.1678652652282846E-3</v>
      </c>
      <c r="L105" s="52">
        <f>+'2011 Actuals'!R105</f>
        <v>5044.5700000000006</v>
      </c>
      <c r="M105" s="6">
        <v>4642</v>
      </c>
      <c r="O105" s="108">
        <f t="shared" si="51"/>
        <v>3951.7</v>
      </c>
      <c r="P105" s="108">
        <f t="shared" si="52"/>
        <v>3951.7000000000003</v>
      </c>
      <c r="Q105" s="7">
        <f t="shared" si="53"/>
        <v>-1.1507638507135262E-16</v>
      </c>
      <c r="R105" s="9" t="s">
        <v>139</v>
      </c>
    </row>
    <row r="106" spans="1:21" x14ac:dyDescent="0.25">
      <c r="A106" s="106">
        <v>101</v>
      </c>
      <c r="C106" s="1" t="s">
        <v>58</v>
      </c>
      <c r="G106" s="6">
        <v>750</v>
      </c>
      <c r="H106" s="52">
        <f>+'2013 Budget'!AD106</f>
        <v>750</v>
      </c>
      <c r="I106" s="7">
        <f t="shared" si="49"/>
        <v>0</v>
      </c>
      <c r="J106" s="52">
        <f>+'Prior Year Actuals'!R106</f>
        <v>133.19</v>
      </c>
      <c r="K106" s="7">
        <f t="shared" si="50"/>
        <v>4.6310533823860647</v>
      </c>
      <c r="L106" s="52">
        <f>+'2011 Actuals'!R106</f>
        <v>717.06</v>
      </c>
      <c r="M106" s="6">
        <v>106</v>
      </c>
      <c r="O106" s="108">
        <f t="shared" si="51"/>
        <v>379.8</v>
      </c>
      <c r="P106" s="108">
        <f t="shared" si="52"/>
        <v>625</v>
      </c>
      <c r="Q106" s="7">
        <f t="shared" si="53"/>
        <v>-0.39232</v>
      </c>
    </row>
    <row r="107" spans="1:21" x14ac:dyDescent="0.25">
      <c r="A107" s="106">
        <v>102</v>
      </c>
      <c r="C107" s="1" t="s">
        <v>57</v>
      </c>
      <c r="G107" s="6">
        <v>2000</v>
      </c>
      <c r="H107" s="52">
        <f>+'2013 Budget'!AD107</f>
        <v>2000.0400000000002</v>
      </c>
      <c r="I107" s="7">
        <f t="shared" si="49"/>
        <v>-1.9999600008095332E-5</v>
      </c>
      <c r="J107" s="52">
        <f>+'Prior Year Actuals'!R107</f>
        <v>1695.0800000000002</v>
      </c>
      <c r="K107" s="7">
        <f t="shared" si="50"/>
        <v>0.17988531514736758</v>
      </c>
      <c r="L107" s="52">
        <f>+'2011 Actuals'!R107</f>
        <v>2000</v>
      </c>
      <c r="M107" s="6">
        <v>2394</v>
      </c>
      <c r="O107" s="108">
        <f t="shared" si="51"/>
        <v>2000</v>
      </c>
      <c r="P107" s="108">
        <f t="shared" si="52"/>
        <v>1666.7</v>
      </c>
      <c r="Q107" s="7">
        <f t="shared" si="53"/>
        <v>0.19997600047999037</v>
      </c>
    </row>
    <row r="108" spans="1:21" x14ac:dyDescent="0.25">
      <c r="A108" s="106">
        <v>103</v>
      </c>
      <c r="C108" s="1" t="s">
        <v>62</v>
      </c>
      <c r="G108" s="6">
        <v>1500</v>
      </c>
      <c r="H108" s="52">
        <f>+'2013 Budget'!AD108</f>
        <v>1500</v>
      </c>
      <c r="I108" s="7">
        <f t="shared" si="49"/>
        <v>0</v>
      </c>
      <c r="J108" s="52">
        <f>+'Prior Year Actuals'!R108</f>
        <v>1509.6299999999999</v>
      </c>
      <c r="K108" s="7">
        <f t="shared" si="50"/>
        <v>-6.379046521332964E-3</v>
      </c>
      <c r="L108" s="52">
        <f>+'2011 Actuals'!R108</f>
        <v>1660.55</v>
      </c>
      <c r="M108" s="6">
        <v>1240</v>
      </c>
      <c r="O108" s="108">
        <f t="shared" si="51"/>
        <v>1106.3</v>
      </c>
      <c r="P108" s="108">
        <f t="shared" si="52"/>
        <v>1250</v>
      </c>
      <c r="Q108" s="7">
        <f t="shared" si="53"/>
        <v>-0.11496000000000003</v>
      </c>
    </row>
    <row r="109" spans="1:21" x14ac:dyDescent="0.25">
      <c r="A109" s="106">
        <v>104</v>
      </c>
      <c r="C109" s="1" t="s">
        <v>68</v>
      </c>
      <c r="G109" s="251">
        <v>1298</v>
      </c>
      <c r="H109" s="52">
        <f>+'2013 Budget'!AD109</f>
        <v>1272</v>
      </c>
      <c r="I109" s="7">
        <f t="shared" si="49"/>
        <v>2.0440251572327043E-2</v>
      </c>
      <c r="J109" s="52">
        <f>+'Prior Year Actuals'!R109</f>
        <v>1115.4000000000003</v>
      </c>
      <c r="K109" s="7">
        <f t="shared" si="50"/>
        <v>0.16370808678500953</v>
      </c>
      <c r="L109" s="52">
        <f>+'2011 Actuals'!R109</f>
        <v>1057.5400000000002</v>
      </c>
      <c r="M109" s="6">
        <v>0</v>
      </c>
      <c r="O109" s="108">
        <f t="shared" si="51"/>
        <v>1081</v>
      </c>
      <c r="P109" s="108">
        <f t="shared" si="52"/>
        <v>1060</v>
      </c>
      <c r="Q109" s="7">
        <f t="shared" si="53"/>
        <v>1.981132075471698E-2</v>
      </c>
    </row>
    <row r="110" spans="1:21" s="5" customFormat="1" x14ac:dyDescent="0.25">
      <c r="A110" s="106">
        <v>105</v>
      </c>
      <c r="B110" s="33" t="s">
        <v>69</v>
      </c>
      <c r="C110" s="33"/>
      <c r="D110" s="33"/>
      <c r="E110" s="33"/>
      <c r="F110" s="33"/>
      <c r="G110" s="33">
        <f>SUM(G104:G109)</f>
        <v>46495</v>
      </c>
      <c r="H110" s="33">
        <f>SUM(H104:H109)</f>
        <v>45918.119999999995</v>
      </c>
      <c r="I110" s="34">
        <f t="shared" si="49"/>
        <v>1.2563232118388225E-2</v>
      </c>
      <c r="J110" s="33">
        <f>SUM(J104:J109)</f>
        <v>41049.86</v>
      </c>
      <c r="K110" s="34">
        <f t="shared" si="50"/>
        <v>0.1326469810128463</v>
      </c>
      <c r="L110" s="33">
        <f>SUM(L104:L109)</f>
        <v>43725.72</v>
      </c>
      <c r="M110" s="33">
        <f>SUM(M104:M109)</f>
        <v>40659</v>
      </c>
      <c r="O110" s="33">
        <f>SUM(O104:O109)</f>
        <v>38230.400000000001</v>
      </c>
      <c r="P110" s="33">
        <f>SUM(P104:P109)</f>
        <v>38265.099999999991</v>
      </c>
      <c r="Q110" s="34">
        <f t="shared" si="53"/>
        <v>-9.0683155146569123E-4</v>
      </c>
      <c r="R110" s="14"/>
    </row>
    <row r="111" spans="1:21" ht="6" customHeight="1" x14ac:dyDescent="0.25">
      <c r="A111" s="106">
        <v>106</v>
      </c>
      <c r="I111" s="8"/>
      <c r="L111" s="1"/>
      <c r="M111" s="1"/>
    </row>
    <row r="112" spans="1:21" x14ac:dyDescent="0.25">
      <c r="A112" s="106">
        <v>107</v>
      </c>
      <c r="B112" s="5" t="s">
        <v>70</v>
      </c>
      <c r="I112" s="8"/>
      <c r="L112" s="1"/>
      <c r="M112" s="1"/>
    </row>
    <row r="113" spans="1:23" x14ac:dyDescent="0.25">
      <c r="A113" s="106">
        <v>108</v>
      </c>
      <c r="C113" s="1" t="s">
        <v>71</v>
      </c>
      <c r="E113" s="216" t="s">
        <v>254</v>
      </c>
      <c r="F113" s="215">
        <f>ROUND(+$H113*(1+LEFT($E$116,1)/100),0)</f>
        <v>9580</v>
      </c>
      <c r="G113" s="43">
        <f>ROUND(+$H113*(1+LEFT($E116,1)/100),0)</f>
        <v>9580</v>
      </c>
      <c r="H113" s="52">
        <f>+'2013 Budget'!AD113</f>
        <v>9579.9600000000009</v>
      </c>
      <c r="I113" s="7">
        <f t="shared" ref="I113:I119" si="54">IF(H113=0,"NA",(+G113-H113)/H113)</f>
        <v>4.1753827781174579E-6</v>
      </c>
      <c r="J113" s="52">
        <f>+'Prior Year Actuals'!R113</f>
        <v>8781.74</v>
      </c>
      <c r="K113" s="7">
        <f t="shared" ref="K113:K119" si="55">IF(J113=0,"NA",(+G113-J113)/J113)</f>
        <v>9.0899981097140231E-2</v>
      </c>
      <c r="L113" s="52">
        <f>+'2011 Actuals'!R113</f>
        <v>9580.08</v>
      </c>
      <c r="M113" s="6">
        <v>9580</v>
      </c>
      <c r="O113" s="108">
        <f t="shared" ref="O113:O118" si="56">VLOOKUP($A113,Cur_Actuals,Cur_Month+18)</f>
        <v>7983.4</v>
      </c>
      <c r="P113" s="108">
        <f t="shared" ref="P113:P118" si="57">VLOOKUP($A113,Cur_Budget,Cur_Month+18)</f>
        <v>7983.3</v>
      </c>
      <c r="Q113" s="7">
        <f t="shared" ref="Q113:Q119" si="58">IF(P113=0,"NA",(+O113-P113)/P113)</f>
        <v>1.2526148334580223E-5</v>
      </c>
      <c r="T113" s="209"/>
      <c r="U113" s="211"/>
    </row>
    <row r="114" spans="1:23" x14ac:dyDescent="0.25">
      <c r="A114" s="106">
        <v>109</v>
      </c>
      <c r="C114" s="1" t="s">
        <v>72</v>
      </c>
      <c r="E114" s="217" t="str">
        <f>0*100%&amp;"% Cost of Living"</f>
        <v>0% Cost of Living</v>
      </c>
      <c r="G114" s="6">
        <v>500</v>
      </c>
      <c r="H114" s="52">
        <f>+'2013 Budget'!AD114</f>
        <v>500.04000000000013</v>
      </c>
      <c r="I114" s="7">
        <f t="shared" si="54"/>
        <v>-7.9993600512227297E-5</v>
      </c>
      <c r="J114" s="52">
        <f>+'Prior Year Actuals'!R114</f>
        <v>300</v>
      </c>
      <c r="K114" s="7">
        <f t="shared" si="55"/>
        <v>0.66666666666666663</v>
      </c>
      <c r="L114" s="52">
        <f>+'2011 Actuals'!R114</f>
        <v>200</v>
      </c>
      <c r="M114" s="6">
        <v>400</v>
      </c>
      <c r="O114" s="108">
        <f t="shared" si="56"/>
        <v>300</v>
      </c>
      <c r="P114" s="108">
        <f t="shared" si="57"/>
        <v>416.7000000000001</v>
      </c>
      <c r="Q114" s="7">
        <f t="shared" si="58"/>
        <v>-0.2800575953923688</v>
      </c>
    </row>
    <row r="115" spans="1:23" x14ac:dyDescent="0.25">
      <c r="A115" s="106">
        <v>110</v>
      </c>
      <c r="C115" s="1" t="s">
        <v>73</v>
      </c>
      <c r="E115" s="216" t="s">
        <v>246</v>
      </c>
      <c r="F115" s="52">
        <f>ROUND(+$H115*(1+LEFT($E$114,1)/100),0)</f>
        <v>18152</v>
      </c>
      <c r="G115" s="52">
        <f>+F115</f>
        <v>18152</v>
      </c>
      <c r="H115" s="52">
        <f>+'2013 Budget'!AD115</f>
        <v>18152.04</v>
      </c>
      <c r="I115" s="7">
        <f t="shared" si="54"/>
        <v>-2.2036090709844798E-6</v>
      </c>
      <c r="J115" s="52">
        <f>+'Prior Year Actuals'!R115</f>
        <v>16710.28</v>
      </c>
      <c r="K115" s="7">
        <f t="shared" si="55"/>
        <v>8.6277429223208787E-2</v>
      </c>
      <c r="L115" s="52">
        <f>+'2011 Actuals'!R115</f>
        <v>17915.759999999998</v>
      </c>
      <c r="M115" s="6">
        <v>17492</v>
      </c>
      <c r="O115" s="108">
        <f t="shared" si="56"/>
        <v>15557.8</v>
      </c>
      <c r="P115" s="108">
        <f t="shared" si="57"/>
        <v>15126.7</v>
      </c>
      <c r="Q115" s="7">
        <f t="shared" si="58"/>
        <v>2.8499276114420099E-2</v>
      </c>
    </row>
    <row r="116" spans="1:23" x14ac:dyDescent="0.25">
      <c r="A116" s="106">
        <v>111</v>
      </c>
      <c r="C116" s="1" t="s">
        <v>74</v>
      </c>
      <c r="E116" s="217" t="str">
        <f>0*100%&amp;"% Cost of Living"</f>
        <v>0% Cost of Living</v>
      </c>
      <c r="F116" s="52">
        <f>ROUND(+$H116*(1+LEFT($E$114,1)/100),0)</f>
        <v>6713</v>
      </c>
      <c r="G116" s="43">
        <f>+F116</f>
        <v>6713</v>
      </c>
      <c r="H116" s="52">
        <f>+'2013 Budget'!AD116</f>
        <v>6713.0000000000009</v>
      </c>
      <c r="I116" s="7">
        <f t="shared" si="54"/>
        <v>-1.3548260118768481E-16</v>
      </c>
      <c r="J116" s="52">
        <f>+'Prior Year Actuals'!R116</f>
        <v>5922.9000000000005</v>
      </c>
      <c r="K116" s="7">
        <f t="shared" si="55"/>
        <v>0.13339749109388971</v>
      </c>
      <c r="L116" s="52">
        <f>+'2011 Actuals'!R116</f>
        <v>6581.0000000000009</v>
      </c>
      <c r="M116" s="6">
        <v>6389</v>
      </c>
      <c r="O116" s="108">
        <f t="shared" si="56"/>
        <v>5370.4000000000005</v>
      </c>
      <c r="P116" s="108">
        <f t="shared" si="57"/>
        <v>5370.4000000000005</v>
      </c>
      <c r="Q116" s="7">
        <f t="shared" si="58"/>
        <v>0</v>
      </c>
    </row>
    <row r="117" spans="1:23" x14ac:dyDescent="0.25">
      <c r="A117" s="106">
        <v>112</v>
      </c>
      <c r="C117" s="1" t="s">
        <v>75</v>
      </c>
      <c r="F117" s="215">
        <f>ROUND(+$H117*(1+LEFT($E$116,1)/100),0)</f>
        <v>1698</v>
      </c>
      <c r="G117" s="43">
        <f>ROUND(+$H117*(1+LEFT(0,1)/100),0)</f>
        <v>1698</v>
      </c>
      <c r="H117" s="52">
        <f>+'2013 Budget'!AD117</f>
        <v>1698</v>
      </c>
      <c r="I117" s="7">
        <f t="shared" si="54"/>
        <v>0</v>
      </c>
      <c r="J117" s="52">
        <f>+'Prior Year Actuals'!R117</f>
        <v>1555.9500000000003</v>
      </c>
      <c r="K117" s="7">
        <f t="shared" si="55"/>
        <v>9.1294707413477102E-2</v>
      </c>
      <c r="L117" s="52">
        <f>+'2011 Actuals'!R117</f>
        <v>1697.4000000000003</v>
      </c>
      <c r="M117" s="6">
        <v>1697</v>
      </c>
      <c r="O117" s="108">
        <f t="shared" si="56"/>
        <v>1414.5</v>
      </c>
      <c r="P117" s="108">
        <f t="shared" si="57"/>
        <v>1415</v>
      </c>
      <c r="Q117" s="7">
        <f t="shared" si="58"/>
        <v>-3.5335689045936394E-4</v>
      </c>
    </row>
    <row r="118" spans="1:23" x14ac:dyDescent="0.25">
      <c r="A118" s="106">
        <v>113</v>
      </c>
      <c r="C118" s="1" t="s">
        <v>76</v>
      </c>
      <c r="G118" s="6">
        <v>2400</v>
      </c>
      <c r="H118" s="52">
        <f>+'2013 Budget'!AD118</f>
        <v>2400</v>
      </c>
      <c r="I118" s="7">
        <f t="shared" si="54"/>
        <v>0</v>
      </c>
      <c r="J118" s="52">
        <f>+'Prior Year Actuals'!R118</f>
        <v>2200</v>
      </c>
      <c r="K118" s="7">
        <f t="shared" si="55"/>
        <v>9.0909090909090912E-2</v>
      </c>
      <c r="L118" s="52">
        <f>+'2011 Actuals'!R118</f>
        <v>2400</v>
      </c>
      <c r="M118" s="6">
        <v>2400</v>
      </c>
      <c r="O118" s="108">
        <f t="shared" si="56"/>
        <v>2050</v>
      </c>
      <c r="P118" s="108">
        <f t="shared" si="57"/>
        <v>2000</v>
      </c>
      <c r="Q118" s="7">
        <f t="shared" si="58"/>
        <v>2.5000000000000001E-2</v>
      </c>
    </row>
    <row r="119" spans="1:23" s="5" customFormat="1" x14ac:dyDescent="0.25">
      <c r="A119" s="106">
        <v>114</v>
      </c>
      <c r="B119" s="33" t="s">
        <v>77</v>
      </c>
      <c r="C119" s="33"/>
      <c r="D119" s="33"/>
      <c r="E119" s="33"/>
      <c r="F119" s="33"/>
      <c r="G119" s="33">
        <f>SUM(G113:G118)</f>
        <v>39043</v>
      </c>
      <c r="H119" s="33">
        <f>SUM(H113:H118)</f>
        <v>39043.040000000001</v>
      </c>
      <c r="I119" s="34">
        <f t="shared" si="54"/>
        <v>-1.0245103865086612E-6</v>
      </c>
      <c r="J119" s="33">
        <f>SUM(J113:J118)</f>
        <v>35470.869999999995</v>
      </c>
      <c r="K119" s="34">
        <f t="shared" si="55"/>
        <v>0.10070601595055337</v>
      </c>
      <c r="L119" s="33">
        <f>SUM(L113:L118)</f>
        <v>38374.239999999998</v>
      </c>
      <c r="M119" s="33">
        <f>SUM(M113:M118)</f>
        <v>37958</v>
      </c>
      <c r="O119" s="33">
        <f>SUM(O113:O118)</f>
        <v>32676.1</v>
      </c>
      <c r="P119" s="33">
        <f>SUM(P113:P118)</f>
        <v>32312.100000000002</v>
      </c>
      <c r="Q119" s="34">
        <f t="shared" si="58"/>
        <v>1.1265129781103559E-2</v>
      </c>
      <c r="R119" s="14"/>
    </row>
    <row r="120" spans="1:23" ht="6.75" customHeight="1" x14ac:dyDescent="0.25">
      <c r="A120" s="106">
        <v>115</v>
      </c>
      <c r="I120" s="8"/>
      <c r="L120" s="1"/>
      <c r="M120" s="1"/>
    </row>
    <row r="121" spans="1:23" x14ac:dyDescent="0.25">
      <c r="A121" s="106">
        <v>116</v>
      </c>
      <c r="B121" s="5" t="s">
        <v>78</v>
      </c>
      <c r="I121" s="8"/>
      <c r="L121" s="1"/>
      <c r="M121" s="1"/>
      <c r="V121" s="1" t="s">
        <v>243</v>
      </c>
      <c r="W121" s="66" t="s">
        <v>242</v>
      </c>
    </row>
    <row r="122" spans="1:23" x14ac:dyDescent="0.25">
      <c r="A122" s="106">
        <v>117</v>
      </c>
      <c r="C122" s="1" t="s">
        <v>147</v>
      </c>
      <c r="E122" s="215" t="s">
        <v>249</v>
      </c>
      <c r="F122" s="52">
        <f>ROUND(+$H122*(1+LEFT($E$114,1)/100),0)</f>
        <v>12375</v>
      </c>
      <c r="G122" s="52">
        <f>+H122+T122</f>
        <v>12375</v>
      </c>
      <c r="H122" s="52">
        <f>+'2013 Budget'!AD122</f>
        <v>12375</v>
      </c>
      <c r="I122" s="7">
        <f t="shared" ref="I122:I133" si="59">IF(H122=0,"NA",(+G122-H122)/H122)</f>
        <v>0</v>
      </c>
      <c r="J122" s="52">
        <f>+'Prior Year Actuals'!R122</f>
        <v>11690.89</v>
      </c>
      <c r="K122" s="7">
        <f t="shared" ref="K122:K133" si="60">IF(J122=0,"NA",(+G122-J122)/J122)</f>
        <v>5.851650302072816E-2</v>
      </c>
      <c r="L122" s="52">
        <f>+'2011 Actuals'!R122</f>
        <v>12389.460000000001</v>
      </c>
      <c r="M122" s="6">
        <v>11830</v>
      </c>
      <c r="O122" s="108">
        <f t="shared" ref="O122:O131" si="61">VLOOKUP($A122,Cur_Actuals,Cur_Month+18)</f>
        <v>9875.48</v>
      </c>
      <c r="P122" s="108">
        <f t="shared" ref="P122:P131" si="62">VLOOKUP($A122,Cur_Budget,Cur_Month+18)</f>
        <v>10312.5</v>
      </c>
      <c r="Q122" s="7">
        <f t="shared" ref="Q122:Q133" si="63">IF(P122=0,"NA",(+O122-P122)/P122)</f>
        <v>-4.237769696969701E-2</v>
      </c>
      <c r="S122" s="209"/>
      <c r="T122" s="209">
        <v>0</v>
      </c>
      <c r="U122" s="211">
        <f>+T122/H122</f>
        <v>0</v>
      </c>
      <c r="V122" s="212">
        <f>+T122/W122</f>
        <v>0</v>
      </c>
      <c r="W122" s="213">
        <f>17*52</f>
        <v>884</v>
      </c>
    </row>
    <row r="123" spans="1:23" ht="53.25" customHeight="1" x14ac:dyDescent="0.25">
      <c r="A123" s="106">
        <v>118</v>
      </c>
      <c r="C123" s="1" t="s">
        <v>80</v>
      </c>
      <c r="E123" s="218" t="s">
        <v>250</v>
      </c>
      <c r="F123" s="52">
        <f>ROUND((52*((7.25*8)+(11.59*24)+(10*15*9/12)+(10*9*3/12)+(12.38*8)))*(1+LEFT($E$114,1)/100),0)</f>
        <v>29650</v>
      </c>
      <c r="G123" s="52">
        <f>+H123+T123</f>
        <v>31718.039999999994</v>
      </c>
      <c r="H123" s="52">
        <f>+'2013 Budget'!AD123</f>
        <v>31718.039999999994</v>
      </c>
      <c r="I123" s="7">
        <f t="shared" si="59"/>
        <v>0</v>
      </c>
      <c r="J123" s="52">
        <f>+'Prior Year Actuals'!R123</f>
        <v>31465.149999999994</v>
      </c>
      <c r="K123" s="7">
        <f t="shared" si="60"/>
        <v>8.037145858195479E-3</v>
      </c>
      <c r="L123" s="52">
        <f>+'2011 Actuals'!R123</f>
        <v>34818.239999999998</v>
      </c>
      <c r="M123" s="6">
        <v>31785</v>
      </c>
      <c r="O123" s="108">
        <f t="shared" si="61"/>
        <v>24477.800000000003</v>
      </c>
      <c r="P123" s="108">
        <f t="shared" si="62"/>
        <v>26431.699999999997</v>
      </c>
      <c r="Q123" s="7">
        <f t="shared" si="63"/>
        <v>-7.3922600513776804E-2</v>
      </c>
      <c r="R123" s="9" t="s">
        <v>248</v>
      </c>
      <c r="T123" s="209">
        <v>0</v>
      </c>
      <c r="U123" s="211">
        <f>+T123/H123</f>
        <v>0</v>
      </c>
    </row>
    <row r="124" spans="1:23" x14ac:dyDescent="0.25">
      <c r="A124" s="106">
        <v>119</v>
      </c>
      <c r="C124" s="1" t="s">
        <v>81</v>
      </c>
      <c r="G124" s="6">
        <v>400</v>
      </c>
      <c r="H124" s="52">
        <f>+'2013 Budget'!AD124</f>
        <v>500.04000000000013</v>
      </c>
      <c r="I124" s="7">
        <f t="shared" si="59"/>
        <v>-0.2000639948804098</v>
      </c>
      <c r="J124" s="52">
        <f>+'Prior Year Actuals'!R124</f>
        <v>386.62</v>
      </c>
      <c r="K124" s="7">
        <f t="shared" si="60"/>
        <v>3.4607625058196666E-2</v>
      </c>
      <c r="L124" s="52">
        <f>+'2011 Actuals'!R124</f>
        <v>544.22</v>
      </c>
      <c r="M124" s="6">
        <v>569</v>
      </c>
      <c r="O124" s="108">
        <f t="shared" si="61"/>
        <v>162.80000000000001</v>
      </c>
      <c r="P124" s="108">
        <f t="shared" si="62"/>
        <v>416.7000000000001</v>
      </c>
      <c r="Q124" s="7">
        <f t="shared" si="63"/>
        <v>-0.60931125509959205</v>
      </c>
      <c r="T124" s="35"/>
    </row>
    <row r="125" spans="1:23" x14ac:dyDescent="0.25">
      <c r="A125" s="106">
        <v>120</v>
      </c>
      <c r="C125" s="1" t="s">
        <v>273</v>
      </c>
      <c r="G125" s="6">
        <v>700</v>
      </c>
      <c r="H125" s="52">
        <f>+'2013 Budget'!AD125</f>
        <v>999.96000000000015</v>
      </c>
      <c r="I125" s="7">
        <f t="shared" si="59"/>
        <v>-0.29997199887995529</v>
      </c>
      <c r="J125" s="52">
        <f>+'Prior Year Actuals'!R125</f>
        <v>-600</v>
      </c>
      <c r="K125" s="7">
        <f t="shared" si="60"/>
        <v>-2.1666666666666665</v>
      </c>
      <c r="L125" s="52">
        <f>+'2011 Actuals'!R125</f>
        <v>702.87</v>
      </c>
      <c r="M125" s="6">
        <v>700</v>
      </c>
      <c r="O125" s="108">
        <f t="shared" si="61"/>
        <v>45</v>
      </c>
      <c r="P125" s="108">
        <f t="shared" si="62"/>
        <v>833.30000000000007</v>
      </c>
      <c r="Q125" s="7">
        <f t="shared" si="63"/>
        <v>-0.94599783991359654</v>
      </c>
      <c r="T125" s="35"/>
    </row>
    <row r="126" spans="1:23" x14ac:dyDescent="0.25">
      <c r="A126" s="106">
        <v>121</v>
      </c>
      <c r="C126" s="1" t="s">
        <v>83</v>
      </c>
      <c r="G126" s="6">
        <v>0</v>
      </c>
      <c r="H126" s="52">
        <f>+'2013 Budget'!AD126</f>
        <v>0</v>
      </c>
      <c r="I126" s="7" t="str">
        <f t="shared" si="59"/>
        <v>NA</v>
      </c>
      <c r="J126" s="52">
        <f>+'Prior Year Actuals'!R126</f>
        <v>551.53</v>
      </c>
      <c r="K126" s="7">
        <f t="shared" si="60"/>
        <v>-1</v>
      </c>
      <c r="L126" s="52">
        <f>+'2011 Actuals'!R126</f>
        <v>1475.17</v>
      </c>
      <c r="M126" s="6">
        <v>770</v>
      </c>
      <c r="O126" s="108">
        <f t="shared" si="61"/>
        <v>-21.13</v>
      </c>
      <c r="P126" s="108">
        <f t="shared" si="62"/>
        <v>0</v>
      </c>
      <c r="Q126" s="7" t="str">
        <f t="shared" si="63"/>
        <v>NA</v>
      </c>
      <c r="S126" s="6"/>
      <c r="T126" s="35"/>
    </row>
    <row r="127" spans="1:23" x14ac:dyDescent="0.25">
      <c r="A127" s="106">
        <v>122</v>
      </c>
      <c r="C127" s="1" t="s">
        <v>125</v>
      </c>
      <c r="E127" s="215" t="s">
        <v>251</v>
      </c>
      <c r="F127" s="52">
        <f>(11.5*30*52)*(1+LEFT(E$114,1)/100)</f>
        <v>17940</v>
      </c>
      <c r="G127" s="251">
        <v>17940</v>
      </c>
      <c r="H127" s="52">
        <f>+'2013 Budget'!AD127</f>
        <v>17550</v>
      </c>
      <c r="I127" s="7">
        <f t="shared" si="59"/>
        <v>2.2222222222222223E-2</v>
      </c>
      <c r="J127" s="52">
        <f>+'Prior Year Actuals'!R127</f>
        <v>16308.87</v>
      </c>
      <c r="K127" s="7">
        <f t="shared" si="60"/>
        <v>0.10001489986737273</v>
      </c>
      <c r="L127" s="52">
        <f>+'2011 Actuals'!R127</f>
        <v>22400.239999999998</v>
      </c>
      <c r="M127" s="6">
        <v>19111</v>
      </c>
      <c r="O127" s="108">
        <f t="shared" si="61"/>
        <v>14279.17</v>
      </c>
      <c r="P127" s="108">
        <f t="shared" si="62"/>
        <v>14625</v>
      </c>
      <c r="Q127" s="7">
        <f t="shared" si="63"/>
        <v>-2.3646495726495721E-2</v>
      </c>
      <c r="T127" s="209">
        <v>0</v>
      </c>
      <c r="U127" s="211">
        <f>+T127/H127</f>
        <v>0</v>
      </c>
      <c r="V127" s="212">
        <f>+T127/W127</f>
        <v>0</v>
      </c>
      <c r="W127" s="213">
        <f>30*52</f>
        <v>1560</v>
      </c>
    </row>
    <row r="128" spans="1:23" x14ac:dyDescent="0.25">
      <c r="A128" s="106">
        <v>123</v>
      </c>
      <c r="C128" s="1" t="s">
        <v>84</v>
      </c>
      <c r="F128" s="210"/>
      <c r="G128" s="251">
        <v>9400</v>
      </c>
      <c r="H128" s="52">
        <f>+'2013 Budget'!AD128</f>
        <v>9861.9600000000009</v>
      </c>
      <c r="I128" s="7">
        <f t="shared" si="59"/>
        <v>-4.6842615463863257E-2</v>
      </c>
      <c r="J128" s="52">
        <f>+'Prior Year Actuals'!R128</f>
        <v>8169.4400000000005</v>
      </c>
      <c r="K128" s="7">
        <f t="shared" si="60"/>
        <v>0.15062966372236034</v>
      </c>
      <c r="L128" s="52">
        <f>+'2011 Actuals'!R128</f>
        <v>8457.07</v>
      </c>
      <c r="M128" s="6">
        <v>9696</v>
      </c>
      <c r="O128" s="108">
        <f t="shared" si="61"/>
        <v>6929.72</v>
      </c>
      <c r="P128" s="108">
        <f t="shared" si="62"/>
        <v>8218.3000000000011</v>
      </c>
      <c r="Q128" s="7">
        <f t="shared" si="63"/>
        <v>-0.15679398415730755</v>
      </c>
      <c r="R128" s="9" t="s">
        <v>140</v>
      </c>
      <c r="T128" s="35">
        <f>+SUM(T86:T127)</f>
        <v>0</v>
      </c>
      <c r="U128" s="1" t="s">
        <v>239</v>
      </c>
    </row>
    <row r="129" spans="1:21" x14ac:dyDescent="0.25">
      <c r="A129" s="106">
        <v>124</v>
      </c>
      <c r="C129" s="1" t="s">
        <v>85</v>
      </c>
      <c r="G129" s="208">
        <v>3451</v>
      </c>
      <c r="H129" s="52">
        <f>+'2013 Budget'!AD129</f>
        <v>3423</v>
      </c>
      <c r="I129" s="7">
        <f t="shared" si="59"/>
        <v>8.1799591002044997E-3</v>
      </c>
      <c r="J129" s="52">
        <f>+'Prior Year Actuals'!R129</f>
        <v>3243.5</v>
      </c>
      <c r="K129" s="7">
        <f t="shared" si="60"/>
        <v>6.3974102050254361E-2</v>
      </c>
      <c r="L129" s="52">
        <f>+'2011 Actuals'!R129</f>
        <v>2455</v>
      </c>
      <c r="M129" s="6">
        <v>3120</v>
      </c>
      <c r="O129" s="108">
        <f t="shared" si="61"/>
        <v>3437</v>
      </c>
      <c r="P129" s="108">
        <f t="shared" si="62"/>
        <v>3423</v>
      </c>
      <c r="Q129" s="7">
        <f t="shared" si="63"/>
        <v>4.0899795501022499E-3</v>
      </c>
      <c r="R129" s="46" t="s">
        <v>140</v>
      </c>
    </row>
    <row r="130" spans="1:21" x14ac:dyDescent="0.25">
      <c r="A130" s="106">
        <v>125</v>
      </c>
      <c r="C130" s="1" t="s">
        <v>86</v>
      </c>
      <c r="G130" s="208">
        <v>600</v>
      </c>
      <c r="H130" s="52">
        <f>+'2013 Budget'!AD130</f>
        <v>600</v>
      </c>
      <c r="I130" s="7">
        <f t="shared" si="59"/>
        <v>0</v>
      </c>
      <c r="J130" s="52">
        <f>+'Prior Year Actuals'!R130</f>
        <v>500</v>
      </c>
      <c r="K130" s="7">
        <f t="shared" si="60"/>
        <v>0.2</v>
      </c>
      <c r="L130" s="52">
        <f>+'2011 Actuals'!R130</f>
        <v>1400</v>
      </c>
      <c r="M130" s="6">
        <v>700</v>
      </c>
      <c r="O130" s="108">
        <f t="shared" si="61"/>
        <v>450</v>
      </c>
      <c r="P130" s="108">
        <f t="shared" si="62"/>
        <v>500</v>
      </c>
      <c r="Q130" s="7">
        <f t="shared" si="63"/>
        <v>-0.1</v>
      </c>
      <c r="T130" s="1">
        <f>+G$86+G$94+G$99+G$104+G$122+G$123+G$127</f>
        <v>206943.03999999998</v>
      </c>
      <c r="U130" s="1" t="s">
        <v>240</v>
      </c>
    </row>
    <row r="131" spans="1:21" x14ac:dyDescent="0.25">
      <c r="A131" s="106">
        <v>126</v>
      </c>
      <c r="C131" s="1" t="s">
        <v>87</v>
      </c>
      <c r="G131" s="6">
        <v>0</v>
      </c>
      <c r="H131" s="52">
        <f>+'2013 Budget'!AD131</f>
        <v>0</v>
      </c>
      <c r="I131" s="7" t="str">
        <f t="shared" si="59"/>
        <v>NA</v>
      </c>
      <c r="J131" s="52">
        <f>+'Prior Year Actuals'!R131</f>
        <v>-5000</v>
      </c>
      <c r="K131" s="7">
        <f t="shared" si="60"/>
        <v>-1</v>
      </c>
      <c r="L131" s="52">
        <f>+'2011 Actuals'!R131</f>
        <v>-4000</v>
      </c>
      <c r="M131" s="6">
        <v>-4000</v>
      </c>
      <c r="O131" s="108">
        <f t="shared" si="61"/>
        <v>0</v>
      </c>
      <c r="P131" s="108">
        <f t="shared" si="62"/>
        <v>0</v>
      </c>
      <c r="Q131" s="7" t="str">
        <f t="shared" si="63"/>
        <v>NA</v>
      </c>
      <c r="T131" s="1">
        <f>+H$86+H$94+H$99+H$104+H$122+H$123+H$127</f>
        <v>213362.03999999998</v>
      </c>
      <c r="U131" s="1" t="s">
        <v>241</v>
      </c>
    </row>
    <row r="132" spans="1:21" s="5" customFormat="1" x14ac:dyDescent="0.25">
      <c r="A132" s="106">
        <v>127</v>
      </c>
      <c r="B132" s="33" t="s">
        <v>79</v>
      </c>
      <c r="C132" s="33"/>
      <c r="D132" s="33"/>
      <c r="E132" s="33"/>
      <c r="F132" s="33"/>
      <c r="G132" s="33">
        <f>SUM(G122:G131)</f>
        <v>76584.039999999994</v>
      </c>
      <c r="H132" s="33">
        <f>SUM(H122:H131)</f>
        <v>77028</v>
      </c>
      <c r="I132" s="34">
        <f t="shared" si="59"/>
        <v>-5.7636184244691073E-3</v>
      </c>
      <c r="J132" s="33">
        <f>SUM(J122:J131)</f>
        <v>66716</v>
      </c>
      <c r="K132" s="34">
        <f t="shared" si="60"/>
        <v>0.14791114575214331</v>
      </c>
      <c r="L132" s="33">
        <f>SUM(L122:L131)</f>
        <v>80642.26999999999</v>
      </c>
      <c r="M132" s="33">
        <f>SUM(M122:M131)</f>
        <v>74281</v>
      </c>
      <c r="O132" s="33">
        <f>SUM(O122:O131)</f>
        <v>59635.840000000004</v>
      </c>
      <c r="P132" s="33">
        <f>SUM(P122:P131)</f>
        <v>64760.5</v>
      </c>
      <c r="Q132" s="34">
        <f t="shared" si="63"/>
        <v>-7.9132495888697529E-2</v>
      </c>
      <c r="R132" s="14"/>
      <c r="T132" s="5">
        <f>+T131-T130</f>
        <v>6419</v>
      </c>
    </row>
    <row r="133" spans="1:21" x14ac:dyDescent="0.25">
      <c r="A133" s="106">
        <v>128</v>
      </c>
      <c r="B133" s="33" t="s">
        <v>88</v>
      </c>
      <c r="C133" s="33"/>
      <c r="D133" s="44" t="str">
        <f>0*100%&amp;"% Cost of Living"</f>
        <v>0% Cost of Living</v>
      </c>
      <c r="E133" s="44"/>
      <c r="F133" s="44"/>
      <c r="G133" s="33">
        <f>+G91+G96+G101+G110+G119+G132</f>
        <v>320352.03999999998</v>
      </c>
      <c r="H133" s="33">
        <f>+H91+H96+H101+H110+H119+H132</f>
        <v>327838.15999999997</v>
      </c>
      <c r="I133" s="34">
        <f t="shared" si="59"/>
        <v>-2.283480361163568E-2</v>
      </c>
      <c r="J133" s="33">
        <f t="shared" ref="J133:M133" si="64">+J91+J96+J101+J110+J119+J132</f>
        <v>292875.90999999997</v>
      </c>
      <c r="K133" s="34">
        <f t="shared" si="60"/>
        <v>9.3814919772677807E-2</v>
      </c>
      <c r="L133" s="33">
        <f t="shared" ref="L133" si="65">+L91+L96+L101+L110+L119+L132</f>
        <v>328235.68</v>
      </c>
      <c r="M133" s="33">
        <f t="shared" si="64"/>
        <v>315055</v>
      </c>
      <c r="O133" s="33">
        <f t="shared" ref="O133:P133" si="66">+O91+O96+O101+O110+O119+O132</f>
        <v>268321.28000000003</v>
      </c>
      <c r="P133" s="33">
        <f t="shared" si="66"/>
        <v>273545.19999999995</v>
      </c>
      <c r="Q133" s="34">
        <f t="shared" si="63"/>
        <v>-1.9097099857719773E-2</v>
      </c>
    </row>
    <row r="134" spans="1:21" ht="8.25" customHeight="1" x14ac:dyDescent="0.25">
      <c r="A134" s="106">
        <v>129</v>
      </c>
      <c r="I134" s="8"/>
      <c r="L134" s="1"/>
      <c r="M134" s="1"/>
    </row>
    <row r="135" spans="1:21" ht="18.75" x14ac:dyDescent="0.25">
      <c r="A135" s="106">
        <v>130</v>
      </c>
      <c r="B135" s="11" t="s">
        <v>89</v>
      </c>
      <c r="G135" s="1">
        <f>461*12</f>
        <v>5532</v>
      </c>
      <c r="I135" s="8"/>
      <c r="L135" s="1"/>
      <c r="M135" s="1"/>
    </row>
    <row r="136" spans="1:21" x14ac:dyDescent="0.25">
      <c r="A136" s="106">
        <v>131</v>
      </c>
      <c r="B136" s="5" t="s">
        <v>90</v>
      </c>
      <c r="I136" s="8"/>
      <c r="L136" s="1"/>
      <c r="M136" s="1"/>
    </row>
    <row r="137" spans="1:21" x14ac:dyDescent="0.25">
      <c r="A137" s="106">
        <v>132</v>
      </c>
      <c r="C137" s="1" t="s">
        <v>92</v>
      </c>
      <c r="G137" s="6">
        <v>17000</v>
      </c>
      <c r="H137" s="52">
        <f>+'2013 Budget'!AD137</f>
        <v>18000</v>
      </c>
      <c r="I137" s="7">
        <f t="shared" ref="I137:I144" si="67">IF(H137=0,"NA",(+G137-H137)/H137)</f>
        <v>-5.5555555555555552E-2</v>
      </c>
      <c r="J137" s="52">
        <f>+'Prior Year Actuals'!R137</f>
        <v>16402.579999999998</v>
      </c>
      <c r="K137" s="7">
        <f t="shared" ref="K137:K144" si="68">IF(J137=0,"NA",(+G137-J137)/J137)</f>
        <v>3.6422318927876098E-2</v>
      </c>
      <c r="L137" s="52">
        <f>+'2011 Actuals'!R137</f>
        <v>18034.32</v>
      </c>
      <c r="M137" s="6">
        <v>16071</v>
      </c>
      <c r="O137" s="108">
        <f t="shared" ref="O137:O143" si="69">VLOOKUP($A137,Cur_Actuals,Cur_Month+18)</f>
        <v>13452.82</v>
      </c>
      <c r="P137" s="108">
        <f t="shared" ref="P137:P143" si="70">VLOOKUP($A137,Cur_Budget,Cur_Month+18)</f>
        <v>15000</v>
      </c>
      <c r="Q137" s="7">
        <f t="shared" ref="Q137:Q144" si="71">IF(P137=0,"NA",(+O137-P137)/P137)</f>
        <v>-0.10314533333333335</v>
      </c>
    </row>
    <row r="138" spans="1:21" x14ac:dyDescent="0.25">
      <c r="A138" s="106">
        <v>133</v>
      </c>
      <c r="C138" s="1" t="s">
        <v>93</v>
      </c>
      <c r="G138" s="6">
        <v>10500</v>
      </c>
      <c r="H138" s="52">
        <f>+'2013 Budget'!AD138</f>
        <v>10056</v>
      </c>
      <c r="I138" s="7">
        <f t="shared" si="67"/>
        <v>4.41527446300716E-2</v>
      </c>
      <c r="J138" s="52">
        <f>+'Prior Year Actuals'!R138</f>
        <v>7786.55</v>
      </c>
      <c r="K138" s="7">
        <f t="shared" si="68"/>
        <v>0.3484791082058164</v>
      </c>
      <c r="L138" s="52">
        <f>+'2011 Actuals'!R138</f>
        <v>12335.85</v>
      </c>
      <c r="M138" s="6">
        <v>10365</v>
      </c>
      <c r="O138" s="108">
        <f t="shared" si="69"/>
        <v>7779.28</v>
      </c>
      <c r="P138" s="108">
        <f t="shared" si="70"/>
        <v>8380</v>
      </c>
      <c r="Q138" s="7">
        <f t="shared" si="71"/>
        <v>-7.1684964200477361E-2</v>
      </c>
      <c r="R138" s="206" t="s">
        <v>269</v>
      </c>
    </row>
    <row r="139" spans="1:21" ht="45" x14ac:dyDescent="0.25">
      <c r="A139" s="106">
        <v>134</v>
      </c>
      <c r="C139" s="1" t="s">
        <v>94</v>
      </c>
      <c r="E139" s="1" t="s">
        <v>253</v>
      </c>
      <c r="F139" s="6"/>
      <c r="G139" s="6">
        <f>ROUND((461)*12,0)</f>
        <v>5532</v>
      </c>
      <c r="H139" s="52">
        <f>+'2013 Budget'!AD139</f>
        <v>4080</v>
      </c>
      <c r="I139" s="7">
        <f t="shared" si="67"/>
        <v>0.35588235294117648</v>
      </c>
      <c r="J139" s="52">
        <f>+'Prior Year Actuals'!R139</f>
        <v>3540.1200000000003</v>
      </c>
      <c r="K139" s="7">
        <f t="shared" si="68"/>
        <v>0.56265889291888393</v>
      </c>
      <c r="L139" s="52">
        <f>+'2011 Actuals'!R139</f>
        <v>4597.7000000000007</v>
      </c>
      <c r="M139" s="6">
        <v>3847</v>
      </c>
      <c r="O139" s="108">
        <f t="shared" si="69"/>
        <v>3392.54</v>
      </c>
      <c r="P139" s="108">
        <f t="shared" si="70"/>
        <v>3400</v>
      </c>
      <c r="Q139" s="7">
        <f t="shared" si="71"/>
        <v>-2.1941176470588342E-3</v>
      </c>
      <c r="R139" s="206" t="s">
        <v>255</v>
      </c>
    </row>
    <row r="140" spans="1:21" x14ac:dyDescent="0.25">
      <c r="A140" s="106">
        <v>135</v>
      </c>
      <c r="C140" s="1" t="s">
        <v>95</v>
      </c>
      <c r="G140" s="6">
        <v>850</v>
      </c>
      <c r="H140" s="52">
        <f>+'2013 Budget'!AD140</f>
        <v>800</v>
      </c>
      <c r="I140" s="7">
        <f t="shared" si="67"/>
        <v>6.25E-2</v>
      </c>
      <c r="J140" s="52">
        <f>+'Prior Year Actuals'!R140</f>
        <v>770.44</v>
      </c>
      <c r="K140" s="7">
        <f t="shared" si="68"/>
        <v>0.10326566637246241</v>
      </c>
      <c r="L140" s="52">
        <f>+'2011 Actuals'!R140</f>
        <v>742.15</v>
      </c>
      <c r="M140" s="6">
        <v>766</v>
      </c>
      <c r="O140" s="108">
        <f t="shared" si="69"/>
        <v>815.83999999999992</v>
      </c>
      <c r="P140" s="108">
        <f t="shared" si="70"/>
        <v>800</v>
      </c>
      <c r="Q140" s="7">
        <f t="shared" si="71"/>
        <v>1.9799999999999898E-2</v>
      </c>
    </row>
    <row r="141" spans="1:21" ht="30" x14ac:dyDescent="0.25">
      <c r="A141" s="106">
        <v>136</v>
      </c>
      <c r="C141" s="1" t="s">
        <v>96</v>
      </c>
      <c r="G141" s="6">
        <v>3300</v>
      </c>
      <c r="H141" s="52">
        <f>+'2013 Budget'!AD141</f>
        <v>3300</v>
      </c>
      <c r="I141" s="7">
        <f t="shared" si="67"/>
        <v>0</v>
      </c>
      <c r="J141" s="52">
        <f>+'Prior Year Actuals'!R141</f>
        <v>2917.08</v>
      </c>
      <c r="K141" s="7">
        <f t="shared" si="68"/>
        <v>0.13126825455592581</v>
      </c>
      <c r="L141" s="52">
        <f>+'2011 Actuals'!R141</f>
        <v>3534.28</v>
      </c>
      <c r="M141" s="6">
        <v>3016</v>
      </c>
      <c r="O141" s="108">
        <f t="shared" si="69"/>
        <v>2691.3</v>
      </c>
      <c r="P141" s="108">
        <f t="shared" si="70"/>
        <v>2750</v>
      </c>
      <c r="Q141" s="7">
        <f t="shared" si="71"/>
        <v>-2.134545454545448E-2</v>
      </c>
      <c r="R141" s="206" t="s">
        <v>234</v>
      </c>
    </row>
    <row r="142" spans="1:21" ht="30" x14ac:dyDescent="0.25">
      <c r="A142" s="106">
        <v>137</v>
      </c>
      <c r="C142" s="1" t="s">
        <v>97</v>
      </c>
      <c r="G142" s="6">
        <v>2700</v>
      </c>
      <c r="H142" s="52">
        <f>+'2013 Budget'!AD142</f>
        <v>2700</v>
      </c>
      <c r="I142" s="7">
        <f t="shared" si="67"/>
        <v>0</v>
      </c>
      <c r="J142" s="52">
        <f>+'Prior Year Actuals'!R142</f>
        <v>3238.44</v>
      </c>
      <c r="K142" s="7">
        <f t="shared" si="68"/>
        <v>-0.16626523881869049</v>
      </c>
      <c r="L142" s="52">
        <f>+'2011 Actuals'!R142</f>
        <v>2948.5699999999997</v>
      </c>
      <c r="M142" s="6">
        <v>2344</v>
      </c>
      <c r="O142" s="108">
        <f t="shared" si="69"/>
        <v>2488.1000000000004</v>
      </c>
      <c r="P142" s="108">
        <f t="shared" si="70"/>
        <v>2250</v>
      </c>
      <c r="Q142" s="7">
        <f t="shared" si="71"/>
        <v>0.10582222222222239</v>
      </c>
      <c r="R142" s="9" t="s">
        <v>237</v>
      </c>
    </row>
    <row r="143" spans="1:21" x14ac:dyDescent="0.25">
      <c r="A143" s="106">
        <v>138</v>
      </c>
      <c r="C143" s="1" t="s">
        <v>98</v>
      </c>
      <c r="G143" s="251">
        <v>3674</v>
      </c>
      <c r="H143" s="52">
        <f>+'2013 Budget'!AD143</f>
        <v>3300</v>
      </c>
      <c r="I143" s="7">
        <f t="shared" si="67"/>
        <v>0.11333333333333333</v>
      </c>
      <c r="J143" s="52">
        <f>+'Prior Year Actuals'!R143</f>
        <v>3258.63</v>
      </c>
      <c r="K143" s="7">
        <f t="shared" si="68"/>
        <v>0.12746767813467619</v>
      </c>
      <c r="L143" s="52">
        <f>+'2011 Actuals'!R143</f>
        <v>3163.5</v>
      </c>
      <c r="M143" s="6">
        <v>3025</v>
      </c>
      <c r="O143" s="108">
        <f t="shared" si="69"/>
        <v>3360.83</v>
      </c>
      <c r="P143" s="108">
        <f t="shared" si="70"/>
        <v>3300</v>
      </c>
      <c r="Q143" s="7">
        <f t="shared" si="71"/>
        <v>1.8433333333333312E-2</v>
      </c>
    </row>
    <row r="144" spans="1:21" s="5" customFormat="1" x14ac:dyDescent="0.25">
      <c r="A144" s="106">
        <v>139</v>
      </c>
      <c r="B144" s="36" t="s">
        <v>99</v>
      </c>
      <c r="C144" s="36"/>
      <c r="D144" s="36"/>
      <c r="E144" s="36"/>
      <c r="F144" s="36"/>
      <c r="G144" s="36">
        <f>SUM(G137:G143)</f>
        <v>43556</v>
      </c>
      <c r="H144" s="36">
        <f>SUM(H137:H143)</f>
        <v>42236</v>
      </c>
      <c r="I144" s="37">
        <f t="shared" si="67"/>
        <v>3.1252959560564446E-2</v>
      </c>
      <c r="J144" s="36">
        <f>SUM(J137:J143)</f>
        <v>37913.839999999997</v>
      </c>
      <c r="K144" s="37">
        <f t="shared" si="68"/>
        <v>0.148815313880103</v>
      </c>
      <c r="L144" s="36">
        <f>SUM(L137:L143)</f>
        <v>45356.369999999995</v>
      </c>
      <c r="M144" s="36">
        <f>SUM(M137:M143)</f>
        <v>39434</v>
      </c>
      <c r="O144" s="36">
        <f>SUM(O137:O143)</f>
        <v>33980.71</v>
      </c>
      <c r="P144" s="36">
        <f>SUM(P137:P143)</f>
        <v>35880</v>
      </c>
      <c r="Q144" s="37">
        <f t="shared" si="71"/>
        <v>-5.2934503901895233E-2</v>
      </c>
      <c r="R144" s="14"/>
    </row>
    <row r="145" spans="1:18" s="5" customFormat="1" ht="6.75" customHeight="1" x14ac:dyDescent="0.25">
      <c r="A145" s="106">
        <v>140</v>
      </c>
      <c r="B145" s="22"/>
      <c r="C145" s="22"/>
      <c r="D145" s="22"/>
      <c r="E145" s="22"/>
      <c r="F145" s="22"/>
      <c r="G145" s="22"/>
      <c r="H145" s="22"/>
      <c r="I145" s="25"/>
      <c r="J145" s="22"/>
      <c r="K145" s="25"/>
      <c r="L145" s="22"/>
      <c r="M145" s="22"/>
      <c r="O145" s="22"/>
      <c r="P145" s="22"/>
      <c r="Q145" s="25"/>
      <c r="R145" s="14"/>
    </row>
    <row r="146" spans="1:18" x14ac:dyDescent="0.25">
      <c r="A146" s="106">
        <v>141</v>
      </c>
      <c r="B146" s="5" t="s">
        <v>100</v>
      </c>
      <c r="I146" s="8"/>
      <c r="L146" s="1"/>
      <c r="M146" s="1"/>
    </row>
    <row r="147" spans="1:18" x14ac:dyDescent="0.25">
      <c r="A147" s="106">
        <v>142</v>
      </c>
      <c r="C147" s="1" t="s">
        <v>101</v>
      </c>
      <c r="G147" s="6">
        <v>12500</v>
      </c>
      <c r="H147" s="52">
        <f>+'2013 Budget'!AD147</f>
        <v>12100</v>
      </c>
      <c r="I147" s="7">
        <f t="shared" ref="I147:I156" si="72">IF(H147=0,"NA",(+G147-H147)/H147)</f>
        <v>3.3057851239669422E-2</v>
      </c>
      <c r="J147" s="52">
        <f>+'Prior Year Actuals'!R147</f>
        <v>11875.5</v>
      </c>
      <c r="K147" s="7">
        <f t="shared" ref="K147:K156" si="73">IF(J147=0,"NA",(+G147-J147)/J147)</f>
        <v>5.2587259483811211E-2</v>
      </c>
      <c r="L147" s="52">
        <f>+'2011 Actuals'!R147</f>
        <v>9766.41</v>
      </c>
      <c r="M147" s="6">
        <v>10182</v>
      </c>
      <c r="O147" s="108">
        <f t="shared" ref="O147:O154" si="74">VLOOKUP($A147,Cur_Actuals,Cur_Month+18)</f>
        <v>12966.47</v>
      </c>
      <c r="P147" s="108">
        <f t="shared" ref="P147:P154" si="75">VLOOKUP($A147,Cur_Budget,Cur_Month+18)</f>
        <v>12100</v>
      </c>
      <c r="Q147" s="7">
        <f t="shared" ref="Q147:Q156" si="76">IF(P147=0,"NA",(+O147-P147)/P147)</f>
        <v>7.1609090909090858E-2</v>
      </c>
    </row>
    <row r="148" spans="1:18" x14ac:dyDescent="0.25">
      <c r="A148" s="106">
        <v>143</v>
      </c>
      <c r="C148" s="1" t="s">
        <v>102</v>
      </c>
      <c r="G148" s="6">
        <v>5000</v>
      </c>
      <c r="H148" s="52">
        <f>+'2013 Budget'!AD148</f>
        <v>5000</v>
      </c>
      <c r="I148" s="7">
        <f t="shared" si="72"/>
        <v>0</v>
      </c>
      <c r="J148" s="52">
        <f>+'Prior Year Actuals'!R148</f>
        <v>2743.5</v>
      </c>
      <c r="K148" s="7">
        <f t="shared" si="73"/>
        <v>0.82248952068525605</v>
      </c>
      <c r="L148" s="52">
        <f>+'2011 Actuals'!R148</f>
        <v>5700.25</v>
      </c>
      <c r="M148" s="6">
        <v>5938</v>
      </c>
      <c r="O148" s="108">
        <f t="shared" si="74"/>
        <v>5317.15</v>
      </c>
      <c r="P148" s="108">
        <f t="shared" si="75"/>
        <v>3000</v>
      </c>
      <c r="Q148" s="7">
        <f t="shared" si="76"/>
        <v>0.7723833333333332</v>
      </c>
    </row>
    <row r="149" spans="1:18" x14ac:dyDescent="0.25">
      <c r="A149" s="106">
        <v>144</v>
      </c>
      <c r="C149" s="1" t="s">
        <v>238</v>
      </c>
      <c r="G149" s="6">
        <v>2500</v>
      </c>
      <c r="H149" s="52">
        <f>+'2013 Budget'!AD149</f>
        <v>2499.9599999999996</v>
      </c>
      <c r="I149" s="7">
        <f t="shared" si="72"/>
        <v>1.6000256004263418E-5</v>
      </c>
      <c r="J149" s="52">
        <f>+'Prior Year Actuals'!R149</f>
        <v>1910.67</v>
      </c>
      <c r="K149" s="7">
        <f t="shared" si="73"/>
        <v>0.30844154144881109</v>
      </c>
      <c r="L149" s="52">
        <f>+'2011 Actuals'!R149</f>
        <v>2729.37</v>
      </c>
      <c r="M149" s="6">
        <v>2996</v>
      </c>
      <c r="O149" s="108">
        <f t="shared" si="74"/>
        <v>1894.38</v>
      </c>
      <c r="P149" s="108">
        <f t="shared" si="75"/>
        <v>2083.2999999999997</v>
      </c>
      <c r="Q149" s="7">
        <f t="shared" si="76"/>
        <v>-9.0683050928814693E-2</v>
      </c>
    </row>
    <row r="150" spans="1:18" ht="45" customHeight="1" x14ac:dyDescent="0.25">
      <c r="A150" s="106">
        <v>145</v>
      </c>
      <c r="C150" s="223" t="s">
        <v>270</v>
      </c>
      <c r="D150" s="223"/>
      <c r="E150" s="214"/>
      <c r="F150" s="205"/>
      <c r="G150" s="6">
        <v>4300</v>
      </c>
      <c r="H150" s="52">
        <f>+'2013 Budget'!AD150</f>
        <v>3999.9599999999996</v>
      </c>
      <c r="I150" s="7">
        <f t="shared" si="72"/>
        <v>7.501075010750119E-2</v>
      </c>
      <c r="J150" s="52">
        <f>+'Prior Year Actuals'!R150</f>
        <v>2943.1000000000004</v>
      </c>
      <c r="K150" s="7">
        <f t="shared" si="73"/>
        <v>0.46104447691209932</v>
      </c>
      <c r="L150" s="52">
        <f>+'2011 Actuals'!R150</f>
        <v>2907.05</v>
      </c>
      <c r="M150" s="6">
        <v>2796</v>
      </c>
      <c r="O150" s="108">
        <f t="shared" si="74"/>
        <v>3170.9500000000003</v>
      </c>
      <c r="P150" s="108">
        <f t="shared" si="75"/>
        <v>3333.2999999999997</v>
      </c>
      <c r="Q150" s="7">
        <f t="shared" si="76"/>
        <v>-4.8705487054870392E-2</v>
      </c>
      <c r="R150" s="220" t="s">
        <v>256</v>
      </c>
    </row>
    <row r="151" spans="1:18" x14ac:dyDescent="0.25">
      <c r="A151" s="106">
        <v>146</v>
      </c>
      <c r="C151" s="1" t="s">
        <v>104</v>
      </c>
      <c r="G151" s="6">
        <v>6000</v>
      </c>
      <c r="H151" s="52">
        <f>+'2013 Budget'!AD151</f>
        <v>6000</v>
      </c>
      <c r="I151" s="7">
        <f t="shared" si="72"/>
        <v>0</v>
      </c>
      <c r="J151" s="52">
        <f>+'Prior Year Actuals'!R151</f>
        <v>3248.72</v>
      </c>
      <c r="K151" s="7">
        <f t="shared" si="73"/>
        <v>0.8468812332241622</v>
      </c>
      <c r="L151" s="52">
        <f>+'2011 Actuals'!R151</f>
        <v>10582.630000000001</v>
      </c>
      <c r="M151" s="6">
        <v>5158</v>
      </c>
      <c r="O151" s="108">
        <f t="shared" si="74"/>
        <v>2998.28</v>
      </c>
      <c r="P151" s="108">
        <f t="shared" si="75"/>
        <v>5000</v>
      </c>
      <c r="Q151" s="7">
        <f t="shared" si="76"/>
        <v>-0.40034399999999998</v>
      </c>
    </row>
    <row r="152" spans="1:18" x14ac:dyDescent="0.25">
      <c r="A152" s="106">
        <v>147</v>
      </c>
      <c r="C152" s="1" t="s">
        <v>105</v>
      </c>
      <c r="G152" s="6">
        <v>0</v>
      </c>
      <c r="H152" s="52">
        <f>+'2013 Budget'!AD152</f>
        <v>0</v>
      </c>
      <c r="I152" s="7" t="str">
        <f t="shared" si="72"/>
        <v>NA</v>
      </c>
      <c r="J152" s="52">
        <f>+'Prior Year Actuals'!R152</f>
        <v>0</v>
      </c>
      <c r="K152" s="7" t="str">
        <f t="shared" si="73"/>
        <v>NA</v>
      </c>
      <c r="L152" s="52">
        <f>+'2011 Actuals'!R152</f>
        <v>0</v>
      </c>
      <c r="M152" s="6">
        <v>131</v>
      </c>
      <c r="O152" s="108">
        <f t="shared" si="74"/>
        <v>0</v>
      </c>
      <c r="P152" s="108">
        <f t="shared" si="75"/>
        <v>0</v>
      </c>
      <c r="Q152" s="7" t="str">
        <f t="shared" si="76"/>
        <v>NA</v>
      </c>
    </row>
    <row r="153" spans="1:18" x14ac:dyDescent="0.25">
      <c r="A153" s="106">
        <v>148</v>
      </c>
      <c r="C153" s="1" t="s">
        <v>107</v>
      </c>
      <c r="G153" s="6">
        <v>54900</v>
      </c>
      <c r="H153" s="52">
        <f>+'2013 Budget'!AD153</f>
        <v>54900</v>
      </c>
      <c r="I153" s="7">
        <f t="shared" si="72"/>
        <v>0</v>
      </c>
      <c r="J153" s="52">
        <f>+'Prior Year Actuals'!R153</f>
        <v>50303</v>
      </c>
      <c r="K153" s="7">
        <f t="shared" si="73"/>
        <v>9.1386199630240736E-2</v>
      </c>
      <c r="L153" s="52">
        <f>+'2011 Actuals'!R153</f>
        <v>54876</v>
      </c>
      <c r="M153" s="6">
        <v>55793</v>
      </c>
      <c r="O153" s="108">
        <f t="shared" si="74"/>
        <v>45730</v>
      </c>
      <c r="P153" s="108">
        <f t="shared" si="75"/>
        <v>45750</v>
      </c>
      <c r="Q153" s="7">
        <f t="shared" si="76"/>
        <v>-4.3715846994535519E-4</v>
      </c>
    </row>
    <row r="154" spans="1:18" x14ac:dyDescent="0.25">
      <c r="A154" s="106">
        <v>149</v>
      </c>
      <c r="C154" s="1" t="s">
        <v>106</v>
      </c>
      <c r="E154" s="1" t="s">
        <v>252</v>
      </c>
      <c r="G154" s="6">
        <v>0</v>
      </c>
      <c r="H154" s="52">
        <f>+'2013 Budget'!AD154</f>
        <v>684</v>
      </c>
      <c r="I154" s="7">
        <f t="shared" si="72"/>
        <v>-1</v>
      </c>
      <c r="J154" s="52">
        <f>+'Prior Year Actuals'!R154</f>
        <v>601.57000000000005</v>
      </c>
      <c r="K154" s="7">
        <f t="shared" si="73"/>
        <v>-1</v>
      </c>
      <c r="L154" s="52">
        <f>+'2011 Actuals'!R154</f>
        <v>962.45999999999992</v>
      </c>
      <c r="M154" s="6">
        <v>524</v>
      </c>
      <c r="O154" s="108">
        <f t="shared" si="74"/>
        <v>292.27</v>
      </c>
      <c r="P154" s="108">
        <f t="shared" si="75"/>
        <v>570</v>
      </c>
      <c r="Q154" s="7">
        <f t="shared" si="76"/>
        <v>-0.48724561403508776</v>
      </c>
      <c r="R154" s="9" t="s">
        <v>271</v>
      </c>
    </row>
    <row r="155" spans="1:18" s="5" customFormat="1" x14ac:dyDescent="0.25">
      <c r="A155" s="106">
        <v>150</v>
      </c>
      <c r="B155" s="36" t="s">
        <v>108</v>
      </c>
      <c r="C155" s="36"/>
      <c r="D155" s="36"/>
      <c r="E155" s="36"/>
      <c r="F155" s="36"/>
      <c r="G155" s="36">
        <f>SUM(G147:G154)</f>
        <v>85200</v>
      </c>
      <c r="H155" s="36">
        <f>SUM(H147:H154)</f>
        <v>85183.92</v>
      </c>
      <c r="I155" s="37">
        <f t="shared" si="72"/>
        <v>1.8876802100680206E-4</v>
      </c>
      <c r="J155" s="36">
        <f>SUM(J147:J154)</f>
        <v>73626.06</v>
      </c>
      <c r="K155" s="37">
        <f t="shared" si="73"/>
        <v>0.15719895917287985</v>
      </c>
      <c r="L155" s="36">
        <f>SUM(L147:L154)</f>
        <v>87524.17</v>
      </c>
      <c r="M155" s="36">
        <f>SUM(M147:M154)</f>
        <v>83518</v>
      </c>
      <c r="O155" s="36">
        <f>SUM(O147:O154)</f>
        <v>72369.5</v>
      </c>
      <c r="P155" s="36">
        <f>SUM(P147:P154)</f>
        <v>71836.600000000006</v>
      </c>
      <c r="Q155" s="37">
        <f t="shared" si="76"/>
        <v>7.4182241364429014E-3</v>
      </c>
      <c r="R155" s="14"/>
    </row>
    <row r="156" spans="1:18" x14ac:dyDescent="0.25">
      <c r="A156" s="106">
        <v>151</v>
      </c>
      <c r="B156" s="36" t="s">
        <v>109</v>
      </c>
      <c r="C156" s="36"/>
      <c r="D156" s="36"/>
      <c r="E156" s="36"/>
      <c r="F156" s="36"/>
      <c r="G156" s="36">
        <f>+G144+G155</f>
        <v>128756</v>
      </c>
      <c r="H156" s="36">
        <f>+H144+H155</f>
        <v>127419.92</v>
      </c>
      <c r="I156" s="37">
        <f t="shared" si="72"/>
        <v>1.0485644630761045E-2</v>
      </c>
      <c r="J156" s="36">
        <f t="shared" ref="J156:M156" si="77">+J144+J155</f>
        <v>111539.9</v>
      </c>
      <c r="K156" s="37">
        <f t="shared" si="73"/>
        <v>0.15434925080621381</v>
      </c>
      <c r="L156" s="36">
        <f t="shared" ref="L156" si="78">+L144+L155</f>
        <v>132880.53999999998</v>
      </c>
      <c r="M156" s="36">
        <f t="shared" si="77"/>
        <v>122952</v>
      </c>
      <c r="O156" s="36">
        <f t="shared" ref="O156:P156" si="79">+O144+O155</f>
        <v>106350.20999999999</v>
      </c>
      <c r="P156" s="36">
        <f t="shared" si="79"/>
        <v>107716.6</v>
      </c>
      <c r="Q156" s="37">
        <f t="shared" si="76"/>
        <v>-1.2685045758963929E-2</v>
      </c>
    </row>
    <row r="157" spans="1:18" ht="4.5" customHeight="1" x14ac:dyDescent="0.25">
      <c r="A157" s="106">
        <v>152</v>
      </c>
      <c r="I157" s="8"/>
      <c r="L157" s="1"/>
      <c r="M157" s="1"/>
    </row>
    <row r="158" spans="1:18" ht="18.75" x14ac:dyDescent="0.25">
      <c r="A158" s="106">
        <v>153</v>
      </c>
      <c r="B158" s="11" t="s">
        <v>110</v>
      </c>
      <c r="I158" s="8"/>
      <c r="L158" s="1"/>
      <c r="M158" s="1"/>
    </row>
    <row r="159" spans="1:18" x14ac:dyDescent="0.25">
      <c r="A159" s="106">
        <v>154</v>
      </c>
      <c r="B159" s="5" t="s">
        <v>111</v>
      </c>
      <c r="I159" s="8"/>
      <c r="L159" s="1"/>
      <c r="M159" s="1"/>
    </row>
    <row r="160" spans="1:18" x14ac:dyDescent="0.25">
      <c r="A160" s="106">
        <v>155</v>
      </c>
      <c r="C160" s="1" t="s">
        <v>112</v>
      </c>
      <c r="G160" s="6">
        <v>0</v>
      </c>
      <c r="H160" s="52">
        <f>+'2013 Budget'!AD160</f>
        <v>0</v>
      </c>
      <c r="I160" s="7" t="str">
        <f t="shared" ref="I160:I164" si="80">IF(H160=0,"NA",(+G160-H160)/H160)</f>
        <v>NA</v>
      </c>
      <c r="J160" s="52">
        <f>+'Prior Year Actuals'!R160</f>
        <v>0</v>
      </c>
      <c r="K160" s="7" t="str">
        <f>IF(J160=0,"NA",(+G160-J160)/J160)</f>
        <v>NA</v>
      </c>
      <c r="L160" s="52">
        <f>+'2011 Actuals'!R160</f>
        <v>0</v>
      </c>
      <c r="M160" s="6">
        <v>0</v>
      </c>
      <c r="O160" s="108">
        <f>VLOOKUP($A160,Cur_Actuals,Cur_Month+18)</f>
        <v>0</v>
      </c>
      <c r="P160" s="108">
        <f t="shared" ref="P160:P163" si="81">VLOOKUP($A160,Cur_Budget,Cur_Month+18)</f>
        <v>0</v>
      </c>
      <c r="Q160" s="7" t="str">
        <f>IF(P160=0,"NA",(+O160-P160)/P160)</f>
        <v>NA</v>
      </c>
    </row>
    <row r="161" spans="1:18" ht="30" x14ac:dyDescent="0.25">
      <c r="A161" s="106">
        <v>156</v>
      </c>
      <c r="C161" s="1" t="s">
        <v>113</v>
      </c>
      <c r="E161" s="1" t="s">
        <v>258</v>
      </c>
      <c r="G161" s="6">
        <v>2910</v>
      </c>
      <c r="H161" s="52">
        <f>+'2013 Budget'!AD161</f>
        <v>4515</v>
      </c>
      <c r="I161" s="7">
        <f t="shared" si="80"/>
        <v>-0.35548172757475083</v>
      </c>
      <c r="J161" s="52">
        <f>+'Prior Year Actuals'!R161</f>
        <v>2500</v>
      </c>
      <c r="K161" s="7">
        <f>IF(J161=0,"NA",(+G161-J161)/J161)</f>
        <v>0.16400000000000001</v>
      </c>
      <c r="L161" s="52">
        <f>+'2011 Actuals'!R161</f>
        <v>3750</v>
      </c>
      <c r="M161" s="6">
        <v>4886</v>
      </c>
      <c r="O161" s="108">
        <f>VLOOKUP($A161,Cur_Actuals,Cur_Month+18)</f>
        <v>0</v>
      </c>
      <c r="P161" s="108">
        <f t="shared" si="81"/>
        <v>3386.25</v>
      </c>
      <c r="Q161" s="7">
        <f>IF(P161=0,"NA",(+O161-P161)/P161)</f>
        <v>-1</v>
      </c>
      <c r="R161" s="9" t="s">
        <v>259</v>
      </c>
    </row>
    <row r="162" spans="1:18" x14ac:dyDescent="0.25">
      <c r="A162" s="106">
        <v>157</v>
      </c>
      <c r="C162" s="1" t="s">
        <v>114</v>
      </c>
      <c r="G162" s="6">
        <v>0</v>
      </c>
      <c r="H162" s="52">
        <f>+'2013 Budget'!AD162</f>
        <v>0</v>
      </c>
      <c r="I162" s="7" t="str">
        <f t="shared" si="80"/>
        <v>NA</v>
      </c>
      <c r="J162" s="52">
        <f>+'Prior Year Actuals'!R162</f>
        <v>0</v>
      </c>
      <c r="K162" s="7" t="str">
        <f>IF(J162=0,"NA",(+G162-J162)/J162)</f>
        <v>NA</v>
      </c>
      <c r="L162" s="52">
        <f>+'2011 Actuals'!R162</f>
        <v>0</v>
      </c>
      <c r="M162" s="6">
        <v>6500</v>
      </c>
      <c r="O162" s="108">
        <f>VLOOKUP($A162,Cur_Actuals,Cur_Month+18)</f>
        <v>0</v>
      </c>
      <c r="P162" s="108">
        <f t="shared" si="81"/>
        <v>0</v>
      </c>
      <c r="Q162" s="7" t="str">
        <f>IF(P162=0,"NA",(+O162-P162)/P162)</f>
        <v>NA</v>
      </c>
    </row>
    <row r="163" spans="1:18" ht="30" x14ac:dyDescent="0.25">
      <c r="A163" s="106">
        <v>158</v>
      </c>
      <c r="C163" s="1" t="s">
        <v>115</v>
      </c>
      <c r="E163" s="1" t="s">
        <v>258</v>
      </c>
      <c r="G163" s="6">
        <v>0</v>
      </c>
      <c r="H163" s="52">
        <f>+'2013 Budget'!AD163</f>
        <v>4515.96</v>
      </c>
      <c r="I163" s="7">
        <f t="shared" si="80"/>
        <v>-1</v>
      </c>
      <c r="J163" s="52">
        <f>+'Prior Year Actuals'!R163</f>
        <v>0</v>
      </c>
      <c r="K163" s="7" t="str">
        <f>IF(J163=0,"NA",(+G163-J163)/J163)</f>
        <v>NA</v>
      </c>
      <c r="L163" s="52">
        <f>+'2011 Actuals'!R163</f>
        <v>5450</v>
      </c>
      <c r="M163" s="6">
        <v>0</v>
      </c>
      <c r="O163" s="108">
        <f>VLOOKUP($A163,Cur_Actuals,Cur_Month+18)</f>
        <v>3000</v>
      </c>
      <c r="P163" s="108">
        <f t="shared" si="81"/>
        <v>3387</v>
      </c>
      <c r="Q163" s="7">
        <f>IF(P163=0,"NA",(+O163-P163)/P163)</f>
        <v>-0.11426040744021258</v>
      </c>
      <c r="R163" s="219" t="s">
        <v>259</v>
      </c>
    </row>
    <row r="164" spans="1:18" s="5" customFormat="1" x14ac:dyDescent="0.25">
      <c r="A164" s="106">
        <v>159</v>
      </c>
      <c r="B164" s="38" t="s">
        <v>116</v>
      </c>
      <c r="C164" s="38"/>
      <c r="D164" s="38"/>
      <c r="E164" s="38"/>
      <c r="F164" s="38"/>
      <c r="G164" s="38">
        <f>SUM(G160:G163)</f>
        <v>2910</v>
      </c>
      <c r="H164" s="38">
        <f>SUM(H160:H163)</f>
        <v>9030.9599999999991</v>
      </c>
      <c r="I164" s="39">
        <f t="shared" si="80"/>
        <v>-0.67777512025299635</v>
      </c>
      <c r="J164" s="38">
        <f>SUM(J160:J163)</f>
        <v>2500</v>
      </c>
      <c r="K164" s="39">
        <f>IF(J164=0,"NA",(+G164-J164)/J164)</f>
        <v>0.16400000000000001</v>
      </c>
      <c r="L164" s="38">
        <f>SUM(L160:L163)</f>
        <v>9200</v>
      </c>
      <c r="M164" s="38">
        <f>SUM(M160:M163)</f>
        <v>11386</v>
      </c>
      <c r="O164" s="38">
        <f>SUM(O160:O163)</f>
        <v>3000</v>
      </c>
      <c r="P164" s="38">
        <f>SUM(P160:P163)</f>
        <v>6773.25</v>
      </c>
      <c r="Q164" s="39">
        <f>IF(P164=0,"NA",(+O164-P164)/P164)</f>
        <v>-0.55708116487653636</v>
      </c>
      <c r="R164" s="14"/>
    </row>
    <row r="165" spans="1:18" ht="7.5" customHeight="1" x14ac:dyDescent="0.25">
      <c r="A165" s="106">
        <v>160</v>
      </c>
      <c r="I165" s="8"/>
      <c r="L165" s="1"/>
      <c r="M165" s="1"/>
    </row>
    <row r="166" spans="1:18" x14ac:dyDescent="0.25">
      <c r="A166" s="106">
        <v>161</v>
      </c>
      <c r="B166" s="40" t="s">
        <v>117</v>
      </c>
      <c r="C166" s="41"/>
      <c r="D166" s="41"/>
      <c r="E166" s="41"/>
      <c r="F166" s="41"/>
      <c r="G166" s="40">
        <f>+G82+G133+G156+G164+G31</f>
        <v>561226.04</v>
      </c>
      <c r="H166" s="40">
        <f>+H82+H133+H156+H164+H31</f>
        <v>572505.07999999996</v>
      </c>
      <c r="I166" s="42">
        <f t="shared" ref="I166" si="82">IF(H166=0,"NA",(+G166-H166)/H166)</f>
        <v>-1.9701205096730182E-2</v>
      </c>
      <c r="J166" s="40">
        <f>+J82+J133+J156+J164+J31</f>
        <v>502879.48</v>
      </c>
      <c r="K166" s="42">
        <f>IF(J166=0,"NA",(+G166-J166)/J166)</f>
        <v>0.11602493702864961</v>
      </c>
      <c r="L166" s="40">
        <f>+L82+L133+L156+L164+L31</f>
        <v>577445.49</v>
      </c>
      <c r="M166" s="40">
        <f>+M82+M133+M156+M164+M31</f>
        <v>564589</v>
      </c>
      <c r="O166" s="40">
        <f>+O82+O133+O156+O164+O31</f>
        <v>461158.51999999996</v>
      </c>
      <c r="P166" s="40">
        <f>+P82+P133+P156+P164+P31</f>
        <v>477060.85</v>
      </c>
      <c r="Q166" s="42">
        <f>IF(P166=0,"NA",(+O166-P166)/P166)</f>
        <v>-3.3333965677544104E-2</v>
      </c>
    </row>
    <row r="167" spans="1:18" x14ac:dyDescent="0.25">
      <c r="A167" s="106">
        <v>162</v>
      </c>
      <c r="B167" s="40" t="s">
        <v>118</v>
      </c>
      <c r="C167" s="41"/>
      <c r="D167" s="41"/>
      <c r="E167" s="41"/>
      <c r="F167" s="41"/>
      <c r="G167" s="40">
        <f>+G22-G166</f>
        <v>-4.0000000037252903E-2</v>
      </c>
      <c r="H167" s="40">
        <f>+H22-H166</f>
        <v>-0.11999999999534339</v>
      </c>
      <c r="I167" s="207" t="s">
        <v>235</v>
      </c>
      <c r="J167" s="40">
        <f>+J22-J166</f>
        <v>6292.859999999986</v>
      </c>
      <c r="K167" s="42">
        <f>IF(J167=0,"NA",(+G167-J167)/J167)</f>
        <v>-1.0000063564102868</v>
      </c>
      <c r="L167" s="40">
        <f>+L22-L166</f>
        <v>0</v>
      </c>
      <c r="M167" s="40">
        <f>+M22-M166</f>
        <v>5663</v>
      </c>
      <c r="O167" s="40">
        <f>+O22-O166</f>
        <v>9312.3100000000559</v>
      </c>
      <c r="P167" s="40">
        <f>+P22-P166</f>
        <v>4126.9800000000396</v>
      </c>
      <c r="Q167" s="42">
        <f>IF(P167=0,"NA",(+O167-P167)/P167)</f>
        <v>1.2564466026004406</v>
      </c>
    </row>
    <row r="168" spans="1:18" x14ac:dyDescent="0.25">
      <c r="I168" s="8"/>
    </row>
    <row r="169" spans="1:18" x14ac:dyDescent="0.25">
      <c r="I169" s="8"/>
    </row>
    <row r="170" spans="1:18" x14ac:dyDescent="0.25">
      <c r="E170" s="35">
        <f>28*12*50</f>
        <v>16800</v>
      </c>
      <c r="I170" s="8"/>
    </row>
    <row r="171" spans="1:18" x14ac:dyDescent="0.25">
      <c r="I171" s="8"/>
    </row>
    <row r="172" spans="1:18" x14ac:dyDescent="0.25">
      <c r="E172" s="35">
        <f>17550/30/50</f>
        <v>11.7</v>
      </c>
      <c r="I172" s="8"/>
    </row>
    <row r="173" spans="1:18" x14ac:dyDescent="0.25">
      <c r="I173" s="8"/>
    </row>
    <row r="174" spans="1:18" x14ac:dyDescent="0.25">
      <c r="I174" s="8"/>
    </row>
    <row r="175" spans="1:18" x14ac:dyDescent="0.25">
      <c r="I175" s="8"/>
    </row>
    <row r="176" spans="1:18" x14ac:dyDescent="0.25">
      <c r="I176" s="8"/>
    </row>
    <row r="177" spans="9:9" x14ac:dyDescent="0.25">
      <c r="I177" s="8"/>
    </row>
    <row r="178" spans="9:9" x14ac:dyDescent="0.25">
      <c r="I178" s="8"/>
    </row>
    <row r="179" spans="9:9" x14ac:dyDescent="0.25">
      <c r="I179" s="8"/>
    </row>
    <row r="180" spans="9:9" x14ac:dyDescent="0.25">
      <c r="I180" s="8"/>
    </row>
    <row r="181" spans="9:9" x14ac:dyDescent="0.25">
      <c r="I181" s="8"/>
    </row>
    <row r="182" spans="9:9" x14ac:dyDescent="0.25">
      <c r="I182" s="8"/>
    </row>
    <row r="183" spans="9:9" x14ac:dyDescent="0.25">
      <c r="I183" s="8"/>
    </row>
    <row r="184" spans="9:9" x14ac:dyDescent="0.25">
      <c r="I184" s="8"/>
    </row>
    <row r="185" spans="9:9" x14ac:dyDescent="0.25">
      <c r="I185" s="8"/>
    </row>
    <row r="186" spans="9:9" x14ac:dyDescent="0.25">
      <c r="I186" s="8"/>
    </row>
    <row r="187" spans="9:9" x14ac:dyDescent="0.25">
      <c r="I187" s="8"/>
    </row>
    <row r="188" spans="9:9" x14ac:dyDescent="0.25">
      <c r="I188" s="8"/>
    </row>
    <row r="189" spans="9:9" x14ac:dyDescent="0.25">
      <c r="I189" s="8"/>
    </row>
  </sheetData>
  <mergeCells count="6">
    <mergeCell ref="C150:D150"/>
    <mergeCell ref="O3:Q3"/>
    <mergeCell ref="B1:R1"/>
    <mergeCell ref="B2:R2"/>
    <mergeCell ref="G3:M3"/>
    <mergeCell ref="F84:F85"/>
  </mergeCells>
  <pageMargins left="0" right="0" top="0" bottom="0" header="0.3" footer="0.3"/>
  <pageSetup scale="55" fitToHeight="0" orientation="landscape" r:id="rId1"/>
  <headerFooter>
    <oddFooter>&amp;C&amp;P of &amp;N&amp;R&amp;D</oddFooter>
  </headerFooter>
  <rowBreaks count="3" manualBreakCount="3">
    <brk id="44" max="16383" man="1"/>
    <brk id="83" max="16383" man="1"/>
    <brk id="13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87"/>
  <sheetViews>
    <sheetView showGridLines="0" workbookViewId="0"/>
  </sheetViews>
  <sheetFormatPr defaultRowHeight="15" outlineLevelRow="2" x14ac:dyDescent="0.25"/>
  <cols>
    <col min="1" max="1" width="4.42578125" style="106" customWidth="1"/>
    <col min="2" max="2" width="4.28515625" style="5"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6" customWidth="1"/>
    <col min="9" max="9" width="11.140625" style="66" customWidth="1"/>
    <col min="10" max="10" width="12.28515625" style="66" customWidth="1"/>
    <col min="11" max="11" width="3.28515625" style="1" customWidth="1"/>
    <col min="12" max="12" width="13.28515625" style="66" customWidth="1"/>
    <col min="13" max="13" width="11.5703125" style="66" customWidth="1"/>
    <col min="14" max="14" width="57.5703125" style="1" customWidth="1"/>
    <col min="15" max="15" width="11.5703125" style="1" bestFit="1" customWidth="1"/>
    <col min="16" max="16384" width="9.140625" style="1"/>
  </cols>
  <sheetData>
    <row r="1" spans="1:14" ht="41.25" customHeight="1" x14ac:dyDescent="0.25">
      <c r="B1" s="227" t="s">
        <v>123</v>
      </c>
      <c r="C1" s="227"/>
      <c r="D1" s="227"/>
      <c r="E1" s="227"/>
      <c r="F1" s="227"/>
      <c r="G1" s="227"/>
      <c r="H1" s="227"/>
      <c r="I1" s="227"/>
      <c r="J1" s="227"/>
      <c r="K1" s="227"/>
      <c r="L1" s="227"/>
      <c r="M1" s="227"/>
      <c r="N1" s="227"/>
    </row>
    <row r="2" spans="1:14" ht="8.25" customHeight="1" x14ac:dyDescent="0.25">
      <c r="B2" s="11"/>
      <c r="C2" s="11"/>
      <c r="D2" s="11"/>
      <c r="E2" s="11"/>
      <c r="F2" s="11"/>
      <c r="G2" s="11"/>
      <c r="H2" s="11"/>
      <c r="I2" s="11"/>
      <c r="J2" s="11"/>
      <c r="K2" s="11"/>
      <c r="L2" s="11"/>
      <c r="M2" s="11"/>
    </row>
    <row r="3" spans="1:14" ht="23.25" customHeight="1" x14ac:dyDescent="0.25">
      <c r="F3" s="224" t="str">
        <f>VLOOKUP(Cur_Month,Lookup_Month,2)&amp;" YTD"</f>
        <v>October YTD</v>
      </c>
      <c r="G3" s="225"/>
      <c r="H3" s="225"/>
      <c r="I3" s="225"/>
      <c r="J3" s="226"/>
      <c r="L3" s="229" t="s">
        <v>200</v>
      </c>
      <c r="M3" s="231"/>
    </row>
    <row r="4" spans="1:14" s="5" customFormat="1" ht="53.25" customHeight="1" x14ac:dyDescent="0.25">
      <c r="A4" s="107"/>
      <c r="F4" s="2" t="s">
        <v>184</v>
      </c>
      <c r="G4" s="65" t="s">
        <v>185</v>
      </c>
      <c r="H4" s="65" t="s">
        <v>205</v>
      </c>
      <c r="I4" s="65" t="s">
        <v>186</v>
      </c>
      <c r="J4" s="4" t="s">
        <v>205</v>
      </c>
      <c r="L4" s="10" t="s">
        <v>201</v>
      </c>
      <c r="M4" s="4" t="s">
        <v>202</v>
      </c>
      <c r="N4" s="196" t="s">
        <v>214</v>
      </c>
    </row>
    <row r="5" spans="1:14" s="5" customFormat="1" ht="18.75" x14ac:dyDescent="0.25">
      <c r="A5" s="107"/>
      <c r="B5" s="11" t="s">
        <v>0</v>
      </c>
      <c r="F5" s="67"/>
      <c r="G5" s="67"/>
      <c r="H5" s="67"/>
      <c r="I5" s="67"/>
      <c r="J5" s="67"/>
      <c r="L5" s="67"/>
      <c r="M5" s="67"/>
    </row>
    <row r="6" spans="1:14" hidden="1" outlineLevel="1" x14ac:dyDescent="0.25">
      <c r="A6" s="106">
        <v>1</v>
      </c>
      <c r="B6" s="5" t="s">
        <v>1</v>
      </c>
      <c r="I6" s="1"/>
    </row>
    <row r="7" spans="1:14" hidden="1" outlineLevel="1" x14ac:dyDescent="0.25">
      <c r="A7" s="106">
        <v>2</v>
      </c>
      <c r="C7" s="1" t="s">
        <v>1</v>
      </c>
      <c r="F7" s="108">
        <f t="shared" ref="F7:F12" si="0">VLOOKUP($A7,Cur_Actuals,Cur_Month+18)</f>
        <v>453566.68</v>
      </c>
      <c r="G7" s="108">
        <f t="shared" ref="G7:G12" si="1">VLOOKUP($A7,Cur_Budget,Cur_Month+18)</f>
        <v>466154.53</v>
      </c>
      <c r="H7" s="7">
        <f>IF(G7=0,"NA",(+F7-G7)/G7)</f>
        <v>-2.7003598999670846E-2</v>
      </c>
      <c r="I7" s="123">
        <f t="shared" ref="I7:I12" si="2">VLOOKUP($A7,PY_Actual,Cur_Month+18)</f>
        <v>453265.74</v>
      </c>
      <c r="J7" s="7">
        <f>IF(I7=0,"NA",(+F7-I7)/I7)</f>
        <v>6.6393723028791533E-4</v>
      </c>
      <c r="L7" s="108">
        <f>+'Current Year Budget'!R7-'YTD Report'!F7</f>
        <v>96238.32</v>
      </c>
      <c r="M7" s="7">
        <f>IF('Current Year Budget'!R7=0,0,+L7/'Current Year Budget'!R7)</f>
        <v>0.17504082356471842</v>
      </c>
    </row>
    <row r="8" spans="1:14" hidden="1" outlineLevel="1" x14ac:dyDescent="0.25">
      <c r="A8" s="106">
        <v>3</v>
      </c>
      <c r="C8" s="1" t="s">
        <v>2</v>
      </c>
      <c r="F8" s="108">
        <f t="shared" si="0"/>
        <v>0</v>
      </c>
      <c r="G8" s="108">
        <f t="shared" si="1"/>
        <v>0</v>
      </c>
      <c r="H8" s="7" t="str">
        <f t="shared" ref="H8:H13" si="3">IF(G8=0,"NA",(+F8-G8)/G8)</f>
        <v>NA</v>
      </c>
      <c r="I8" s="123">
        <f t="shared" si="2"/>
        <v>0</v>
      </c>
      <c r="J8" s="7" t="str">
        <f t="shared" ref="J8:J13" si="4">IF(I8=0,"NA",(+F8-I8)/I8)</f>
        <v>NA</v>
      </c>
      <c r="L8" s="108">
        <f>+'Current Year Budget'!R8-'YTD Report'!F8</f>
        <v>0</v>
      </c>
      <c r="M8" s="7">
        <f>IF('Current Year Budget'!R8=0,0,+L8/'Current Year Budget'!R8)</f>
        <v>0</v>
      </c>
    </row>
    <row r="9" spans="1:14" hidden="1" outlineLevel="1" x14ac:dyDescent="0.25">
      <c r="A9" s="106">
        <v>4</v>
      </c>
      <c r="C9" s="1" t="s">
        <v>3</v>
      </c>
      <c r="F9" s="108">
        <f t="shared" si="0"/>
        <v>4532</v>
      </c>
      <c r="G9" s="108">
        <f t="shared" si="1"/>
        <v>4000</v>
      </c>
      <c r="H9" s="7">
        <f t="shared" si="3"/>
        <v>0.13300000000000001</v>
      </c>
      <c r="I9" s="123">
        <f t="shared" si="2"/>
        <v>3157</v>
      </c>
      <c r="J9" s="7">
        <f t="shared" si="4"/>
        <v>0.43554006968641112</v>
      </c>
      <c r="L9" s="108">
        <f>+'Current Year Budget'!R9-'YTD Report'!F9</f>
        <v>-532</v>
      </c>
      <c r="M9" s="7">
        <f>IF('Current Year Budget'!R9=0,0,+L9/'Current Year Budget'!R9)</f>
        <v>-0.13300000000000001</v>
      </c>
    </row>
    <row r="10" spans="1:14" hidden="1" outlineLevel="1" x14ac:dyDescent="0.25">
      <c r="A10" s="106">
        <v>5</v>
      </c>
      <c r="C10" s="1" t="s">
        <v>4</v>
      </c>
      <c r="F10" s="108">
        <f t="shared" si="0"/>
        <v>0</v>
      </c>
      <c r="G10" s="108">
        <f t="shared" si="1"/>
        <v>0</v>
      </c>
      <c r="H10" s="7" t="str">
        <f t="shared" si="3"/>
        <v>NA</v>
      </c>
      <c r="I10" s="123">
        <f t="shared" si="2"/>
        <v>0</v>
      </c>
      <c r="J10" s="7" t="str">
        <f t="shared" si="4"/>
        <v>NA</v>
      </c>
      <c r="L10" s="108">
        <f>+'Current Year Budget'!R10-'YTD Report'!F10</f>
        <v>1000</v>
      </c>
      <c r="M10" s="7">
        <f>IF('Current Year Budget'!R10=0,0,+L10/'Current Year Budget'!R10)</f>
        <v>1</v>
      </c>
    </row>
    <row r="11" spans="1:14" hidden="1" outlineLevel="1" x14ac:dyDescent="0.25">
      <c r="A11" s="106">
        <v>6</v>
      </c>
      <c r="C11" s="1" t="s">
        <v>5</v>
      </c>
      <c r="F11" s="108">
        <f t="shared" si="0"/>
        <v>0</v>
      </c>
      <c r="G11" s="108">
        <f t="shared" si="1"/>
        <v>0</v>
      </c>
      <c r="H11" s="7" t="str">
        <f t="shared" si="3"/>
        <v>NA</v>
      </c>
      <c r="I11" s="123">
        <f t="shared" si="2"/>
        <v>0</v>
      </c>
      <c r="J11" s="7" t="str">
        <f t="shared" si="4"/>
        <v>NA</v>
      </c>
      <c r="L11" s="108">
        <f>+'Current Year Budget'!R11-'YTD Report'!F11</f>
        <v>5000</v>
      </c>
      <c r="M11" s="7">
        <f>IF('Current Year Budget'!R11=0,0,+L11/'Current Year Budget'!R11)</f>
        <v>1</v>
      </c>
    </row>
    <row r="12" spans="1:14" hidden="1" outlineLevel="1" x14ac:dyDescent="0.25">
      <c r="A12" s="106">
        <v>7</v>
      </c>
      <c r="C12" s="1" t="s">
        <v>6</v>
      </c>
      <c r="F12" s="108">
        <f t="shared" si="0"/>
        <v>2035.51</v>
      </c>
      <c r="G12" s="108">
        <f t="shared" si="1"/>
        <v>2700</v>
      </c>
      <c r="H12" s="7">
        <f t="shared" si="3"/>
        <v>-0.24610740740740741</v>
      </c>
      <c r="I12" s="123">
        <f t="shared" si="2"/>
        <v>3333.66</v>
      </c>
      <c r="J12" s="7">
        <f t="shared" si="4"/>
        <v>-0.38940683812986326</v>
      </c>
      <c r="L12" s="108">
        <f>+'Current Year Budget'!R12-'YTD Report'!F12</f>
        <v>664.49</v>
      </c>
      <c r="M12" s="7">
        <f>IF('Current Year Budget'!R12=0,0,+L12/'Current Year Budget'!R12)</f>
        <v>0.24610740740740741</v>
      </c>
    </row>
    <row r="13" spans="1:14" collapsed="1" x14ac:dyDescent="0.25">
      <c r="A13" s="106">
        <v>8</v>
      </c>
      <c r="B13" s="15" t="s">
        <v>7</v>
      </c>
      <c r="C13" s="15"/>
      <c r="D13" s="15"/>
      <c r="F13" s="109">
        <f>SUM(F7:F12)</f>
        <v>460134.19</v>
      </c>
      <c r="G13" s="109">
        <f>SUM(G7:G12)</f>
        <v>472854.53</v>
      </c>
      <c r="H13" s="16">
        <f t="shared" si="3"/>
        <v>-2.6901169795285718E-2</v>
      </c>
      <c r="I13" s="124">
        <f>SUM(I7:I12)</f>
        <v>459756.39999999997</v>
      </c>
      <c r="J13" s="16">
        <f t="shared" si="4"/>
        <v>8.2171776184091676E-4</v>
      </c>
      <c r="L13" s="124">
        <f>SUM(L7:L12)</f>
        <v>102370.81000000001</v>
      </c>
      <c r="M13" s="16">
        <f>IF('Current Year Budget'!R13=0,0,+L13/'Current Year Budget'!R13)</f>
        <v>0.18199093341392522</v>
      </c>
    </row>
    <row r="14" spans="1:14" ht="5.25" customHeight="1" outlineLevel="1" x14ac:dyDescent="0.25">
      <c r="A14" s="106">
        <v>9</v>
      </c>
      <c r="F14" s="110"/>
      <c r="G14" s="110"/>
      <c r="I14" s="125"/>
    </row>
    <row r="15" spans="1:14" outlineLevel="1" x14ac:dyDescent="0.25">
      <c r="A15" s="106">
        <v>10</v>
      </c>
      <c r="B15" s="5" t="s">
        <v>8</v>
      </c>
      <c r="F15" s="110"/>
      <c r="G15" s="110"/>
      <c r="I15" s="125"/>
    </row>
    <row r="16" spans="1:14" outlineLevel="1" x14ac:dyDescent="0.25">
      <c r="A16" s="106">
        <v>11</v>
      </c>
      <c r="C16" s="1" t="s">
        <v>9</v>
      </c>
      <c r="F16" s="108">
        <f>VLOOKUP($A16,Cur_Actuals,Cur_Month+18)</f>
        <v>5123.95</v>
      </c>
      <c r="G16" s="108">
        <f>VLOOKUP($A16,Cur_Budget,Cur_Month+18)</f>
        <v>8333.3000000000011</v>
      </c>
      <c r="H16" s="7">
        <f t="shared" ref="H16:H22" si="5">IF(G16=0,"NA",(+F16-G16)/G16)</f>
        <v>-0.38512354049416209</v>
      </c>
      <c r="I16" s="123">
        <f>VLOOKUP($A16,PY_Actual,Cur_Month+18)</f>
        <v>5986.8000000000011</v>
      </c>
      <c r="J16" s="7">
        <f t="shared" ref="J16:J22" si="6">IF(I16=0,"NA",(+F16-I16)/I16)</f>
        <v>-0.14412540923364756</v>
      </c>
      <c r="L16" s="108">
        <f>+'Current Year Budget'!R16-'YTD Report'!F16</f>
        <v>4876.05</v>
      </c>
      <c r="M16" s="7">
        <f>IF('Current Year Budget'!R16=0,0,+L16/'Current Year Budget'!R16)</f>
        <v>0.48760500000000001</v>
      </c>
    </row>
    <row r="17" spans="1:13" outlineLevel="1" x14ac:dyDescent="0.25">
      <c r="A17" s="106">
        <v>12</v>
      </c>
      <c r="C17" s="1" t="s">
        <v>8</v>
      </c>
      <c r="F17" s="108">
        <f>VLOOKUP($A17,Cur_Actuals,Cur_Month+18)</f>
        <v>5209</v>
      </c>
      <c r="G17" s="108">
        <f>VLOOKUP($A17,Cur_Budget,Cur_Month+18)</f>
        <v>0</v>
      </c>
      <c r="H17" s="7" t="str">
        <f t="shared" si="5"/>
        <v>NA</v>
      </c>
      <c r="I17" s="123">
        <f>VLOOKUP($A17,PY_Actual,Cur_Month+18)</f>
        <v>1663.79</v>
      </c>
      <c r="J17" s="7">
        <f t="shared" si="6"/>
        <v>2.1308037673023641</v>
      </c>
      <c r="L17" s="108">
        <f>+'Current Year Budget'!R17-'YTD Report'!F17</f>
        <v>-5209</v>
      </c>
      <c r="M17" s="7">
        <f>IF('Current Year Budget'!R17=0,0,+L17/'Current Year Budget'!R17)</f>
        <v>0</v>
      </c>
    </row>
    <row r="18" spans="1:13" outlineLevel="1" x14ac:dyDescent="0.25">
      <c r="A18" s="106">
        <v>13</v>
      </c>
      <c r="C18" s="1" t="s">
        <v>10</v>
      </c>
      <c r="F18" s="108">
        <f>VLOOKUP($A18,Cur_Actuals,Cur_Month+18)</f>
        <v>0</v>
      </c>
      <c r="G18" s="108">
        <f>VLOOKUP($A18,Cur_Budget,Cur_Month+18)</f>
        <v>0</v>
      </c>
      <c r="H18" s="7" t="str">
        <f t="shared" si="5"/>
        <v>NA</v>
      </c>
      <c r="I18" s="123">
        <f>VLOOKUP($A18,PY_Actual,Cur_Month+18)</f>
        <v>0</v>
      </c>
      <c r="J18" s="7" t="str">
        <f t="shared" si="6"/>
        <v>NA</v>
      </c>
      <c r="L18" s="108">
        <f>+'Current Year Budget'!R18-'YTD Report'!F18</f>
        <v>0</v>
      </c>
      <c r="M18" s="7">
        <f>IF('Current Year Budget'!R18=0,0,+L18/'Current Year Budget'!R18)</f>
        <v>0</v>
      </c>
    </row>
    <row r="19" spans="1:13" outlineLevel="1" x14ac:dyDescent="0.25">
      <c r="A19" s="106">
        <v>14</v>
      </c>
      <c r="C19" s="1" t="s">
        <v>12</v>
      </c>
      <c r="F19" s="108">
        <f>VLOOKUP($A19,Cur_Actuals,Cur_Month+18)</f>
        <v>3.69</v>
      </c>
      <c r="G19" s="108">
        <f>VLOOKUP($A19,Cur_Budget,Cur_Month+18)</f>
        <v>0</v>
      </c>
      <c r="H19" s="7" t="str">
        <f t="shared" si="5"/>
        <v>NA</v>
      </c>
      <c r="I19" s="123">
        <f>VLOOKUP($A19,PY_Actual,Cur_Month+18)</f>
        <v>3.6900000000000004</v>
      </c>
      <c r="J19" s="7">
        <f t="shared" si="6"/>
        <v>-1.2034937936316059E-16</v>
      </c>
      <c r="L19" s="108">
        <f>+'Current Year Budget'!R19-'YTD Report'!F19</f>
        <v>-3.69</v>
      </c>
      <c r="M19" s="7">
        <f>IF('Current Year Budget'!R19=0,0,+L19/'Current Year Budget'!R19)</f>
        <v>0</v>
      </c>
    </row>
    <row r="20" spans="1:13" outlineLevel="1" x14ac:dyDescent="0.25">
      <c r="A20" s="106">
        <v>15</v>
      </c>
      <c r="C20" s="1" t="s">
        <v>142</v>
      </c>
      <c r="F20" s="108">
        <f>VLOOKUP($A20,Cur_Actuals,Cur_Month+18)</f>
        <v>0</v>
      </c>
      <c r="G20" s="108">
        <f>VLOOKUP($A20,Cur_Budget,Cur_Month+18)</f>
        <v>0</v>
      </c>
      <c r="H20" s="7" t="str">
        <f t="shared" si="5"/>
        <v>NA</v>
      </c>
      <c r="I20" s="123">
        <f>VLOOKUP($A20,PY_Actual,Cur_Month+18)</f>
        <v>10</v>
      </c>
      <c r="J20" s="7">
        <f t="shared" si="6"/>
        <v>-1</v>
      </c>
      <c r="L20" s="108">
        <f>+'Current Year Budget'!R20-'YTD Report'!F20</f>
        <v>0</v>
      </c>
      <c r="M20" s="7">
        <f>IF('Current Year Budget'!R20=0,0,+L20/'Current Year Budget'!R20)</f>
        <v>0</v>
      </c>
    </row>
    <row r="21" spans="1:13" x14ac:dyDescent="0.25">
      <c r="A21" s="106">
        <v>16</v>
      </c>
      <c r="B21" s="15" t="s">
        <v>11</v>
      </c>
      <c r="C21" s="15"/>
      <c r="D21" s="15"/>
      <c r="F21" s="109">
        <f t="shared" ref="F21:G21" si="7">SUM(F16:F20)</f>
        <v>10336.640000000001</v>
      </c>
      <c r="G21" s="109">
        <f t="shared" si="7"/>
        <v>8333.3000000000011</v>
      </c>
      <c r="H21" s="16">
        <f t="shared" si="5"/>
        <v>0.2404017616070464</v>
      </c>
      <c r="I21" s="124">
        <f t="shared" ref="I21" si="8">SUM(I16:I20)</f>
        <v>7664.2800000000007</v>
      </c>
      <c r="J21" s="16">
        <f t="shared" si="6"/>
        <v>0.34867724039309633</v>
      </c>
      <c r="L21" s="124">
        <f t="shared" ref="L21" si="9">SUM(L16:L20)</f>
        <v>-336.63999999999982</v>
      </c>
      <c r="M21" s="16">
        <f>IF('Current Year Budget'!R21=0,0,+L21/'Current Year Budget'!R21)</f>
        <v>-3.3663999999999979E-2</v>
      </c>
    </row>
    <row r="22" spans="1:13" x14ac:dyDescent="0.25">
      <c r="A22" s="106">
        <v>17</v>
      </c>
      <c r="B22" s="15" t="s">
        <v>14</v>
      </c>
      <c r="C22" s="15"/>
      <c r="D22" s="15"/>
      <c r="F22" s="109">
        <f t="shared" ref="F22:G22" si="10">+F13+F21</f>
        <v>470470.83</v>
      </c>
      <c r="G22" s="109">
        <f t="shared" si="10"/>
        <v>481187.83</v>
      </c>
      <c r="H22" s="16">
        <f t="shared" si="5"/>
        <v>-2.2271968100273858E-2</v>
      </c>
      <c r="I22" s="124">
        <f t="shared" ref="I22" si="11">+I13+I21</f>
        <v>467420.68</v>
      </c>
      <c r="J22" s="16">
        <f t="shared" si="6"/>
        <v>6.5254921968793149E-3</v>
      </c>
      <c r="L22" s="124">
        <f t="shared" ref="L22" si="12">+L13+L21</f>
        <v>102034.17000000001</v>
      </c>
      <c r="M22" s="16">
        <f>IF('Current Year Budget'!R22=0,0,+L22/'Current Year Budget'!R22)</f>
        <v>0.17822406791207066</v>
      </c>
    </row>
    <row r="23" spans="1:13" ht="6" customHeight="1" x14ac:dyDescent="0.25">
      <c r="A23" s="106">
        <v>18</v>
      </c>
      <c r="F23" s="110"/>
      <c r="G23" s="110"/>
      <c r="I23" s="125"/>
      <c r="L23" s="125"/>
    </row>
    <row r="24" spans="1:13" ht="18.75" hidden="1" outlineLevel="1" x14ac:dyDescent="0.25">
      <c r="A24" s="106">
        <v>19</v>
      </c>
      <c r="B24" s="11" t="s">
        <v>15</v>
      </c>
      <c r="F24" s="110"/>
      <c r="G24" s="110"/>
      <c r="I24" s="125"/>
      <c r="L24" s="125"/>
    </row>
    <row r="25" spans="1:13" ht="18.75" hidden="1" outlineLevel="1" x14ac:dyDescent="0.25">
      <c r="A25" s="106">
        <v>20</v>
      </c>
      <c r="B25" s="11" t="s">
        <v>137</v>
      </c>
      <c r="F25" s="110"/>
      <c r="G25" s="110"/>
      <c r="I25" s="125"/>
      <c r="L25" s="125"/>
    </row>
    <row r="26" spans="1:13" hidden="1" outlineLevel="1" x14ac:dyDescent="0.25">
      <c r="A26" s="106">
        <v>21</v>
      </c>
      <c r="C26" s="1" t="s">
        <v>17</v>
      </c>
      <c r="F26" s="110"/>
      <c r="G26" s="110"/>
      <c r="I26" s="125"/>
      <c r="L26" s="125"/>
    </row>
    <row r="27" spans="1:13" hidden="1" outlineLevel="1" x14ac:dyDescent="0.25">
      <c r="A27" s="106">
        <v>22</v>
      </c>
      <c r="C27" s="1" t="s">
        <v>16</v>
      </c>
      <c r="F27" s="110"/>
      <c r="G27" s="110"/>
      <c r="I27" s="125"/>
      <c r="L27" s="125"/>
    </row>
    <row r="28" spans="1:13" hidden="1" outlineLevel="1" x14ac:dyDescent="0.25">
      <c r="A28" s="106">
        <v>23</v>
      </c>
      <c r="C28" s="1" t="s">
        <v>18</v>
      </c>
      <c r="F28" s="110"/>
      <c r="G28" s="110"/>
      <c r="I28" s="125"/>
      <c r="L28" s="125"/>
    </row>
    <row r="29" spans="1:13" hidden="1" outlineLevel="1" x14ac:dyDescent="0.25">
      <c r="A29" s="106">
        <v>24</v>
      </c>
      <c r="C29" s="1" t="s">
        <v>19</v>
      </c>
      <c r="F29" s="110"/>
      <c r="G29" s="110"/>
      <c r="I29" s="125"/>
      <c r="L29" s="125"/>
    </row>
    <row r="30" spans="1:13" hidden="1" outlineLevel="1" x14ac:dyDescent="0.25">
      <c r="A30" s="106">
        <v>25</v>
      </c>
      <c r="C30" s="1" t="s">
        <v>17</v>
      </c>
      <c r="F30" s="110"/>
      <c r="G30" s="110"/>
      <c r="I30" s="125"/>
      <c r="L30" s="125"/>
    </row>
    <row r="31" spans="1:13" s="5" customFormat="1" collapsed="1" x14ac:dyDescent="0.25">
      <c r="A31" s="106">
        <v>26</v>
      </c>
      <c r="B31" s="18"/>
      <c r="C31" s="19" t="s">
        <v>138</v>
      </c>
      <c r="D31" s="18"/>
      <c r="E31" s="18"/>
      <c r="F31" s="113">
        <f>VLOOKUP($A31,Cur_Actuals,Cur_Month+18)</f>
        <v>40095.800000000003</v>
      </c>
      <c r="G31" s="113">
        <f>VLOOKUP($A31,Cur_Budget,Cur_Month+18)</f>
        <v>41346.600000000006</v>
      </c>
      <c r="H31" s="153">
        <f>IF(G31=0,"NA",-(+F31-G31)/G31)</f>
        <v>3.0251580541084459E-2</v>
      </c>
      <c r="I31" s="126">
        <f>VLOOKUP($A31,PY_Actual,Cur_Month+18)</f>
        <v>39835.80000000001</v>
      </c>
      <c r="J31" s="153">
        <f>IF(I31=0,"NA",-(+F31-I31)/I31)</f>
        <v>-6.5267924831431193E-3</v>
      </c>
      <c r="K31" s="18"/>
      <c r="L31" s="126">
        <f>+'Current Year Budget'!R31-'YTD Report'!F31</f>
        <v>11145.199999999997</v>
      </c>
      <c r="M31" s="153">
        <f>IF('Current Year Budget'!R31=0,0,+L31/'Current Year Budget'!R31)</f>
        <v>0.21750551316328715</v>
      </c>
    </row>
    <row r="32" spans="1:13" s="5" customFormat="1" ht="6.75" customHeight="1" x14ac:dyDescent="0.25">
      <c r="A32" s="106">
        <v>27</v>
      </c>
      <c r="B32" s="22"/>
      <c r="C32" s="23"/>
      <c r="D32" s="22"/>
      <c r="E32" s="22"/>
      <c r="F32" s="115"/>
      <c r="G32" s="115"/>
      <c r="H32" s="25"/>
      <c r="I32" s="127"/>
      <c r="J32" s="25"/>
      <c r="K32" s="22"/>
      <c r="L32" s="127"/>
      <c r="M32" s="25"/>
    </row>
    <row r="33" spans="1:15" s="5" customFormat="1" ht="18.75" x14ac:dyDescent="0.25">
      <c r="A33" s="106">
        <v>28</v>
      </c>
      <c r="B33" s="26" t="s">
        <v>91</v>
      </c>
      <c r="C33" s="23"/>
      <c r="D33" s="22"/>
      <c r="E33" s="22"/>
      <c r="F33" s="115"/>
      <c r="G33" s="115"/>
      <c r="H33" s="25"/>
      <c r="I33" s="127"/>
      <c r="J33" s="25"/>
      <c r="K33" s="22"/>
      <c r="L33" s="127"/>
      <c r="M33" s="25"/>
    </row>
    <row r="34" spans="1:15" outlineLevel="1" x14ac:dyDescent="0.25">
      <c r="A34" s="106">
        <v>29</v>
      </c>
      <c r="B34" s="5" t="s">
        <v>20</v>
      </c>
      <c r="F34" s="110"/>
      <c r="G34" s="110"/>
      <c r="I34" s="125"/>
      <c r="L34" s="125"/>
    </row>
    <row r="35" spans="1:15" outlineLevel="1" x14ac:dyDescent="0.25">
      <c r="A35" s="106">
        <v>30</v>
      </c>
      <c r="C35" s="1" t="s">
        <v>119</v>
      </c>
      <c r="F35" s="108">
        <f t="shared" ref="F35:F40" si="13">VLOOKUP($A35,Cur_Actuals,Cur_Month+18)</f>
        <v>1474.3</v>
      </c>
      <c r="G35" s="108">
        <f t="shared" ref="G35:G40" si="14">VLOOKUP($A35,Cur_Budget,Cur_Month+18)</f>
        <v>2800</v>
      </c>
      <c r="H35" s="7">
        <f t="shared" ref="H35:H41" si="15">IF(G35=0,"NA",-(+F35-G35)/G35)</f>
        <v>0.47346428571428573</v>
      </c>
      <c r="I35" s="123">
        <f t="shared" ref="I35:I40" si="16">VLOOKUP($A35,PY_Actual,Cur_Month+18)</f>
        <v>3196.13</v>
      </c>
      <c r="J35" s="7">
        <f t="shared" ref="J35:J41" si="17">IF(I35=0,"NA",-(+F35-I35)/I35)</f>
        <v>0.53872339360414001</v>
      </c>
      <c r="L35" s="123">
        <f>+'Current Year Budget'!R35-'YTD Report'!F35</f>
        <v>2025.7</v>
      </c>
      <c r="M35" s="7">
        <f>IF('Current Year Budget'!R35=0,0,+L35/'Current Year Budget'!R35)</f>
        <v>0.5787714285714286</v>
      </c>
      <c r="N35" s="223" t="s">
        <v>216</v>
      </c>
    </row>
    <row r="36" spans="1:15" outlineLevel="1" x14ac:dyDescent="0.25">
      <c r="A36" s="106">
        <v>31</v>
      </c>
      <c r="C36" s="1" t="s">
        <v>21</v>
      </c>
      <c r="F36" s="108">
        <f t="shared" si="13"/>
        <v>535.77</v>
      </c>
      <c r="G36" s="108">
        <f t="shared" si="14"/>
        <v>600</v>
      </c>
      <c r="H36" s="7">
        <f t="shared" si="15"/>
        <v>0.10705000000000003</v>
      </c>
      <c r="I36" s="123">
        <f t="shared" si="16"/>
        <v>847.67</v>
      </c>
      <c r="J36" s="7">
        <f t="shared" si="17"/>
        <v>0.3679497917821794</v>
      </c>
      <c r="L36" s="123">
        <f>+'Current Year Budget'!R36-'YTD Report'!F36</f>
        <v>214.23000000000002</v>
      </c>
      <c r="M36" s="7">
        <f>IF('Current Year Budget'!R36=0,0,+L36/'Current Year Budget'!R36)</f>
        <v>0.28564000000000001</v>
      </c>
      <c r="N36" s="223"/>
    </row>
    <row r="37" spans="1:15" outlineLevel="1" x14ac:dyDescent="0.25">
      <c r="A37" s="106">
        <v>32</v>
      </c>
      <c r="C37" s="1" t="s">
        <v>22</v>
      </c>
      <c r="F37" s="108">
        <f t="shared" si="13"/>
        <v>795.86</v>
      </c>
      <c r="G37" s="108">
        <f t="shared" si="14"/>
        <v>750</v>
      </c>
      <c r="H37" s="7">
        <f t="shared" si="15"/>
        <v>-6.1146666666666682E-2</v>
      </c>
      <c r="I37" s="123">
        <f t="shared" si="16"/>
        <v>418.24</v>
      </c>
      <c r="J37" s="7">
        <f t="shared" si="17"/>
        <v>-0.90287872991583784</v>
      </c>
      <c r="L37" s="123">
        <f>+'Current Year Budget'!R37-'YTD Report'!F37</f>
        <v>-45.860000000000014</v>
      </c>
      <c r="M37" s="7">
        <f>IF('Current Year Budget'!R37=0,0,+L37/'Current Year Budget'!R37)</f>
        <v>-6.1146666666666682E-2</v>
      </c>
      <c r="N37" s="223"/>
    </row>
    <row r="38" spans="1:15" outlineLevel="1" x14ac:dyDescent="0.25">
      <c r="A38" s="106">
        <v>33</v>
      </c>
      <c r="C38" s="1" t="s">
        <v>23</v>
      </c>
      <c r="F38" s="108">
        <f t="shared" si="13"/>
        <v>498.62</v>
      </c>
      <c r="G38" s="108">
        <f t="shared" si="14"/>
        <v>416.7000000000001</v>
      </c>
      <c r="H38" s="7">
        <f t="shared" si="15"/>
        <v>-0.19659227261819026</v>
      </c>
      <c r="I38" s="123">
        <f t="shared" si="16"/>
        <v>498.55</v>
      </c>
      <c r="J38" s="7">
        <f t="shared" si="17"/>
        <v>-1.4040718082437704E-4</v>
      </c>
      <c r="L38" s="123">
        <f>+'Current Year Budget'!R38-'YTD Report'!F38</f>
        <v>1.3799999999999955</v>
      </c>
      <c r="M38" s="7">
        <f>IF('Current Year Budget'!R38=0,0,+L38/'Current Year Budget'!R38)</f>
        <v>2.7599999999999908E-3</v>
      </c>
      <c r="N38" s="223"/>
    </row>
    <row r="39" spans="1:15" outlineLevel="1" x14ac:dyDescent="0.25">
      <c r="A39" s="106">
        <v>34</v>
      </c>
      <c r="C39" s="1" t="s">
        <v>24</v>
      </c>
      <c r="F39" s="108">
        <f t="shared" si="13"/>
        <v>90.07</v>
      </c>
      <c r="G39" s="108">
        <f t="shared" si="14"/>
        <v>200</v>
      </c>
      <c r="H39" s="7">
        <f t="shared" si="15"/>
        <v>0.54965000000000008</v>
      </c>
      <c r="I39" s="123">
        <f t="shared" si="16"/>
        <v>232.51999999999998</v>
      </c>
      <c r="J39" s="7">
        <f t="shared" si="17"/>
        <v>0.61263547221744363</v>
      </c>
      <c r="L39" s="123">
        <f>+'Current Year Budget'!R39-'YTD Report'!F39</f>
        <v>109.93</v>
      </c>
      <c r="M39" s="7">
        <f>IF('Current Year Budget'!R39=0,0,+L39/'Current Year Budget'!R39)</f>
        <v>0.54965000000000008</v>
      </c>
      <c r="N39" s="223"/>
    </row>
    <row r="40" spans="1:15" outlineLevel="1" x14ac:dyDescent="0.25">
      <c r="A40" s="106">
        <v>35</v>
      </c>
      <c r="C40" s="1" t="s">
        <v>124</v>
      </c>
      <c r="F40" s="108">
        <f t="shared" si="13"/>
        <v>742.81</v>
      </c>
      <c r="G40" s="108">
        <f t="shared" si="14"/>
        <v>625</v>
      </c>
      <c r="H40" s="7">
        <f t="shared" si="15"/>
        <v>-0.18849599999999991</v>
      </c>
      <c r="I40" s="123">
        <f t="shared" si="16"/>
        <v>0</v>
      </c>
      <c r="J40" s="7" t="str">
        <f t="shared" si="17"/>
        <v>NA</v>
      </c>
      <c r="L40" s="123">
        <f>+'Current Year Budget'!R40-'YTD Report'!F40</f>
        <v>7.1900000000000546</v>
      </c>
      <c r="M40" s="7">
        <f>IF('Current Year Budget'!R40=0,0,+L40/'Current Year Budget'!R40)</f>
        <v>9.5866666666667398E-3</v>
      </c>
      <c r="N40" s="223"/>
    </row>
    <row r="41" spans="1:15" s="5" customFormat="1" x14ac:dyDescent="0.25">
      <c r="A41" s="106">
        <v>36</v>
      </c>
      <c r="B41" s="51" t="s">
        <v>25</v>
      </c>
      <c r="C41" s="51"/>
      <c r="D41" s="51"/>
      <c r="F41" s="116">
        <f t="shared" ref="F41:G41" si="18">SUM(F35:F40)</f>
        <v>4137.43</v>
      </c>
      <c r="G41" s="116">
        <f t="shared" si="18"/>
        <v>5391.7</v>
      </c>
      <c r="H41" s="28">
        <f t="shared" si="15"/>
        <v>0.23262978281432564</v>
      </c>
      <c r="I41" s="128">
        <f t="shared" ref="I41" si="19">SUM(I35:I40)</f>
        <v>5193.1100000000006</v>
      </c>
      <c r="J41" s="28">
        <f t="shared" si="17"/>
        <v>0.20328473689176624</v>
      </c>
      <c r="L41" s="128">
        <f t="shared" ref="L41" si="20">SUM(L35:L40)</f>
        <v>2312.5700000000002</v>
      </c>
      <c r="M41" s="28">
        <f>IF('Current Year Budget'!R41=0,0,+L41/'Current Year Budget'!R41)</f>
        <v>0.35853798449612406</v>
      </c>
      <c r="N41" s="223"/>
    </row>
    <row r="42" spans="1:15" ht="6" hidden="1" customHeight="1" outlineLevel="1" x14ac:dyDescent="0.25">
      <c r="A42" s="106">
        <v>37</v>
      </c>
      <c r="F42" s="110"/>
      <c r="G42" s="110"/>
      <c r="I42" s="125"/>
      <c r="L42" s="125"/>
    </row>
    <row r="43" spans="1:15" collapsed="1" x14ac:dyDescent="0.25">
      <c r="A43" s="106">
        <v>38</v>
      </c>
      <c r="B43" s="51" t="s">
        <v>26</v>
      </c>
      <c r="C43" s="51"/>
      <c r="D43" s="51"/>
      <c r="F43" s="117">
        <f>VLOOKUP($A43,Cur_Actuals,Cur_Month+18)</f>
        <v>700.59</v>
      </c>
      <c r="G43" s="117">
        <f>VLOOKUP($A43,Cur_Budget,Cur_Month+18)</f>
        <v>833.30000000000007</v>
      </c>
      <c r="H43" s="154">
        <f>IF(G43=0,"NA",-(+F43-G43)/G43)</f>
        <v>0.15925837033481341</v>
      </c>
      <c r="I43" s="129">
        <f>VLOOKUP($A43,PY_Actual,Cur_Month+18)</f>
        <v>898.28</v>
      </c>
      <c r="J43" s="154">
        <f>IF(I43=0,"NA",-(+F43-I43)/I43)</f>
        <v>0.22007614552255417</v>
      </c>
      <c r="L43" s="129">
        <f>+'Current Year Budget'!R43-'YTD Report'!F43</f>
        <v>299.40999999999997</v>
      </c>
      <c r="M43" s="154">
        <f>IF('Current Year Budget'!R43=0,0,+L43/'Current Year Budget'!R43)</f>
        <v>0.29940999999999995</v>
      </c>
    </row>
    <row r="44" spans="1:15" ht="7.5" hidden="1" customHeight="1" outlineLevel="1" x14ac:dyDescent="0.25">
      <c r="A44" s="106">
        <v>39</v>
      </c>
      <c r="F44" s="110"/>
      <c r="G44" s="110"/>
      <c r="I44" s="125"/>
      <c r="L44" s="125"/>
    </row>
    <row r="45" spans="1:15" hidden="1" outlineLevel="1" x14ac:dyDescent="0.25">
      <c r="A45" s="106">
        <v>40</v>
      </c>
      <c r="B45" s="5" t="s">
        <v>27</v>
      </c>
      <c r="F45" s="110"/>
      <c r="G45" s="110"/>
      <c r="I45" s="125"/>
      <c r="L45" s="125"/>
    </row>
    <row r="46" spans="1:15" ht="15" hidden="1" customHeight="1" outlineLevel="1" x14ac:dyDescent="0.25">
      <c r="A46" s="106">
        <v>41</v>
      </c>
      <c r="C46" s="1" t="s">
        <v>29</v>
      </c>
      <c r="F46" s="108">
        <f>VLOOKUP($A46,Cur_Actuals,Cur_Month+18)</f>
        <v>4582.0199999999995</v>
      </c>
      <c r="G46" s="108">
        <f>VLOOKUP($A46,Cur_Budget,Cur_Month+18)</f>
        <v>4416.7</v>
      </c>
      <c r="H46" s="7">
        <f t="shared" ref="H46:H50" si="21">IF(G46=0,"NA",-(+F46-G46)/G46)</f>
        <v>-3.7430660900672381E-2</v>
      </c>
      <c r="I46" s="123">
        <f>VLOOKUP($A46,PY_Actual,Cur_Month+18)</f>
        <v>4276.8499999999995</v>
      </c>
      <c r="J46" s="7">
        <f t="shared" ref="J46:J50" si="22">IF(I46=0,"NA",-(+F46-I46)/I46)</f>
        <v>-7.1353917018366353E-2</v>
      </c>
      <c r="L46" s="123">
        <f>+'Current Year Budget'!R46-'YTD Report'!F46</f>
        <v>717.98000000000047</v>
      </c>
      <c r="M46" s="7">
        <f>IF('Current Year Budget'!R46=0,0,+L46/'Current Year Budget'!R46)</f>
        <v>0.13546792452830198</v>
      </c>
      <c r="N46" s="235" t="s">
        <v>217</v>
      </c>
      <c r="O46" s="234"/>
    </row>
    <row r="47" spans="1:15" hidden="1" outlineLevel="1" x14ac:dyDescent="0.25">
      <c r="A47" s="106">
        <v>42</v>
      </c>
      <c r="C47" s="1" t="s">
        <v>30</v>
      </c>
      <c r="F47" s="108">
        <f>VLOOKUP($A47,Cur_Actuals,Cur_Month+18)</f>
        <v>1000</v>
      </c>
      <c r="G47" s="108">
        <f>VLOOKUP($A47,Cur_Budget,Cur_Month+18)</f>
        <v>1083.3000000000002</v>
      </c>
      <c r="H47" s="7">
        <f t="shared" si="21"/>
        <v>7.6894673682267295E-2</v>
      </c>
      <c r="I47" s="123">
        <f>VLOOKUP($A47,PY_Actual,Cur_Month+18)</f>
        <v>1972.3600000000001</v>
      </c>
      <c r="J47" s="7">
        <f t="shared" si="22"/>
        <v>0.49299316554787159</v>
      </c>
      <c r="L47" s="123">
        <f>+'Current Year Budget'!R47-'YTD Report'!F47</f>
        <v>300</v>
      </c>
      <c r="M47" s="7">
        <f>IF('Current Year Budget'!R47=0,0,+L47/'Current Year Budget'!R47)</f>
        <v>0.23076923076923078</v>
      </c>
      <c r="N47" s="235"/>
      <c r="O47" s="234"/>
    </row>
    <row r="48" spans="1:15" hidden="1" outlineLevel="1" x14ac:dyDescent="0.25">
      <c r="A48" s="106">
        <v>43</v>
      </c>
      <c r="C48" s="1" t="s">
        <v>31</v>
      </c>
      <c r="F48" s="108">
        <f>VLOOKUP($A48,Cur_Actuals,Cur_Month+18)</f>
        <v>730.85</v>
      </c>
      <c r="G48" s="108">
        <f>VLOOKUP($A48,Cur_Budget,Cur_Month+18)</f>
        <v>833.30000000000007</v>
      </c>
      <c r="H48" s="7">
        <f t="shared" si="21"/>
        <v>0.12294491779671192</v>
      </c>
      <c r="I48" s="123">
        <f>VLOOKUP($A48,PY_Actual,Cur_Month+18)</f>
        <v>945.08</v>
      </c>
      <c r="J48" s="7">
        <f t="shared" si="22"/>
        <v>0.22667922292292716</v>
      </c>
      <c r="L48" s="123">
        <f>+'Current Year Budget'!R48-'YTD Report'!F48</f>
        <v>269.14999999999998</v>
      </c>
      <c r="M48" s="7">
        <f>IF('Current Year Budget'!R48=0,0,+L48/'Current Year Budget'!R48)</f>
        <v>0.26915</v>
      </c>
      <c r="N48" s="199"/>
      <c r="O48" s="234"/>
    </row>
    <row r="49" spans="1:15" hidden="1" outlineLevel="1" x14ac:dyDescent="0.25">
      <c r="A49" s="106">
        <v>44</v>
      </c>
      <c r="C49" s="1" t="s">
        <v>32</v>
      </c>
      <c r="F49" s="108">
        <f>VLOOKUP($A49,Cur_Actuals,Cur_Month+18)</f>
        <v>248.5</v>
      </c>
      <c r="G49" s="108">
        <f>VLOOKUP($A49,Cur_Budget,Cur_Month+18)</f>
        <v>250</v>
      </c>
      <c r="H49" s="7">
        <f t="shared" si="21"/>
        <v>6.0000000000000001E-3</v>
      </c>
      <c r="I49" s="123">
        <f>VLOOKUP($A49,PY_Actual,Cur_Month+18)</f>
        <v>115.57</v>
      </c>
      <c r="J49" s="7">
        <f t="shared" si="22"/>
        <v>-1.1502119927316778</v>
      </c>
      <c r="L49" s="123">
        <f>+'Current Year Budget'!R49-'YTD Report'!F49</f>
        <v>51.5</v>
      </c>
      <c r="M49" s="7">
        <f>IF('Current Year Budget'!R49=0,0,+L49/'Current Year Budget'!R49)</f>
        <v>0.17166666666666666</v>
      </c>
      <c r="N49" s="198" t="s">
        <v>225</v>
      </c>
      <c r="O49" s="234"/>
    </row>
    <row r="50" spans="1:15" s="5" customFormat="1" collapsed="1" x14ac:dyDescent="0.25">
      <c r="A50" s="106">
        <v>45</v>
      </c>
      <c r="B50" s="51" t="s">
        <v>28</v>
      </c>
      <c r="C50" s="51"/>
      <c r="D50" s="51"/>
      <c r="F50" s="116">
        <f>SUM(F46:F49)</f>
        <v>6561.37</v>
      </c>
      <c r="G50" s="116">
        <f>SUM(G46:G49)</f>
        <v>6583.3</v>
      </c>
      <c r="H50" s="28">
        <f t="shared" si="21"/>
        <v>3.3311561071195737E-3</v>
      </c>
      <c r="I50" s="128">
        <f>SUM(I46:I49)</f>
        <v>7309.8599999999988</v>
      </c>
      <c r="J50" s="28">
        <f t="shared" si="22"/>
        <v>0.10239457390428805</v>
      </c>
      <c r="L50" s="128">
        <f>SUM(L46:L49)</f>
        <v>1338.6300000000006</v>
      </c>
      <c r="M50" s="28">
        <f>IF('Current Year Budget'!R50=0,0,+L50/'Current Year Budget'!R50)</f>
        <v>0.16944683544303804</v>
      </c>
      <c r="N50" s="199"/>
      <c r="O50" s="234"/>
    </row>
    <row r="51" spans="1:15" ht="6.75" hidden="1" customHeight="1" outlineLevel="1" x14ac:dyDescent="0.25">
      <c r="A51" s="106">
        <v>46</v>
      </c>
      <c r="F51" s="110"/>
      <c r="G51" s="110"/>
      <c r="I51" s="125"/>
      <c r="L51" s="125"/>
    </row>
    <row r="52" spans="1:15" hidden="1" outlineLevel="1" x14ac:dyDescent="0.25">
      <c r="A52" s="106">
        <v>47</v>
      </c>
      <c r="B52" s="5" t="s">
        <v>33</v>
      </c>
      <c r="F52" s="110"/>
      <c r="G52" s="110"/>
      <c r="I52" s="125"/>
      <c r="L52" s="125"/>
    </row>
    <row r="53" spans="1:15" hidden="1" outlineLevel="1" x14ac:dyDescent="0.25">
      <c r="A53" s="106">
        <v>48</v>
      </c>
      <c r="C53" s="1" t="s">
        <v>34</v>
      </c>
      <c r="F53" s="108">
        <f>VLOOKUP($A53,Cur_Actuals,Cur_Month+18)</f>
        <v>2877.93</v>
      </c>
      <c r="G53" s="108">
        <f>VLOOKUP($A53,Cur_Budget,Cur_Month+18)</f>
        <v>5833.3</v>
      </c>
      <c r="H53" s="7">
        <f t="shared" ref="H53:H56" si="23">IF(G53=0,"NA",-(+F53-G53)/G53)</f>
        <v>0.50663775221572704</v>
      </c>
      <c r="I53" s="123">
        <f>VLOOKUP($A53,PY_Actual,Cur_Month+18)</f>
        <v>3354.21</v>
      </c>
      <c r="J53" s="7">
        <f t="shared" ref="J53:J56" si="24">IF(I53=0,"NA",-(+F53-I53)/I53)</f>
        <v>0.14199468727360548</v>
      </c>
      <c r="L53" s="123">
        <f>+'Current Year Budget'!R53-'YTD Report'!F53</f>
        <v>4122.07</v>
      </c>
      <c r="M53" s="7">
        <f>IF('Current Year Budget'!R53=0,0,+L53/'Current Year Budget'!R53)</f>
        <v>0.58886714285714281</v>
      </c>
    </row>
    <row r="54" spans="1:15" hidden="1" outlineLevel="1" x14ac:dyDescent="0.25">
      <c r="A54" s="106">
        <v>49</v>
      </c>
      <c r="C54" s="1" t="s">
        <v>143</v>
      </c>
      <c r="F54" s="108">
        <f>VLOOKUP($A54,Cur_Actuals,Cur_Month+18)</f>
        <v>0</v>
      </c>
      <c r="G54" s="108">
        <f>VLOOKUP($A54,Cur_Budget,Cur_Month+18)</f>
        <v>0</v>
      </c>
      <c r="H54" s="7" t="str">
        <f t="shared" si="23"/>
        <v>NA</v>
      </c>
      <c r="I54" s="123">
        <f>VLOOKUP($A54,PY_Actual,Cur_Month+18)</f>
        <v>0</v>
      </c>
      <c r="J54" s="7" t="str">
        <f t="shared" si="24"/>
        <v>NA</v>
      </c>
      <c r="L54" s="123">
        <f>+'Current Year Budget'!R54-'YTD Report'!F54</f>
        <v>0</v>
      </c>
      <c r="M54" s="7">
        <f>IF('Current Year Budget'!R54=0,0,+L54/'Current Year Budget'!R54)</f>
        <v>0</v>
      </c>
    </row>
    <row r="55" spans="1:15" hidden="1" outlineLevel="1" x14ac:dyDescent="0.25">
      <c r="A55" s="106">
        <v>50</v>
      </c>
      <c r="C55" s="1" t="s">
        <v>146</v>
      </c>
      <c r="F55" s="108">
        <f>VLOOKUP($A55,Cur_Actuals,Cur_Month+18)</f>
        <v>0</v>
      </c>
      <c r="G55" s="108">
        <f>VLOOKUP($A55,Cur_Budget,Cur_Month+18)</f>
        <v>0</v>
      </c>
      <c r="H55" s="7" t="str">
        <f t="shared" si="23"/>
        <v>NA</v>
      </c>
      <c r="I55" s="123">
        <f>VLOOKUP($A55,PY_Actual,Cur_Month+18)</f>
        <v>0</v>
      </c>
      <c r="J55" s="7" t="str">
        <f t="shared" si="24"/>
        <v>NA</v>
      </c>
      <c r="L55" s="123">
        <f>+'Current Year Budget'!R55-'YTD Report'!F55</f>
        <v>0</v>
      </c>
      <c r="M55" s="7">
        <f>IF('Current Year Budget'!R55=0,0,+L55/'Current Year Budget'!R55)</f>
        <v>0</v>
      </c>
    </row>
    <row r="56" spans="1:15" s="5" customFormat="1" collapsed="1" x14ac:dyDescent="0.25">
      <c r="A56" s="106">
        <v>51</v>
      </c>
      <c r="B56" s="51" t="s">
        <v>35</v>
      </c>
      <c r="C56" s="51"/>
      <c r="D56" s="51"/>
      <c r="F56" s="116">
        <f>SUM(F53:F55)</f>
        <v>2877.93</v>
      </c>
      <c r="G56" s="116">
        <f>SUM(G53:G55)</f>
        <v>5833.3</v>
      </c>
      <c r="H56" s="28">
        <f t="shared" si="23"/>
        <v>0.50663775221572704</v>
      </c>
      <c r="I56" s="128">
        <f>SUM(I53:I55)</f>
        <v>3354.21</v>
      </c>
      <c r="J56" s="28">
        <f t="shared" si="24"/>
        <v>0.14199468727360548</v>
      </c>
      <c r="L56" s="128">
        <f>SUM(L53:L55)</f>
        <v>4122.07</v>
      </c>
      <c r="M56" s="28">
        <f>IF('Current Year Budget'!R56=0,0,+L56/'Current Year Budget'!R56)</f>
        <v>0.58886714285714281</v>
      </c>
    </row>
    <row r="57" spans="1:15" ht="6.75" hidden="1" customHeight="1" outlineLevel="1" x14ac:dyDescent="0.25">
      <c r="A57" s="106">
        <v>52</v>
      </c>
      <c r="F57" s="110"/>
      <c r="G57" s="110"/>
      <c r="I57" s="125"/>
      <c r="L57" s="125"/>
    </row>
    <row r="58" spans="1:15" hidden="1" outlineLevel="1" x14ac:dyDescent="0.25">
      <c r="A58" s="106">
        <v>53</v>
      </c>
      <c r="B58" s="5" t="s">
        <v>141</v>
      </c>
      <c r="F58" s="110"/>
      <c r="G58" s="110"/>
      <c r="I58" s="125"/>
      <c r="L58" s="125"/>
    </row>
    <row r="59" spans="1:15" hidden="1" outlineLevel="1" x14ac:dyDescent="0.25">
      <c r="A59" s="106">
        <v>54</v>
      </c>
      <c r="C59" s="1" t="s">
        <v>144</v>
      </c>
      <c r="F59" s="108">
        <f>VLOOKUP($A59,Cur_Actuals,Cur_Month+18)</f>
        <v>-39.270000000000003</v>
      </c>
      <c r="G59" s="108">
        <f>VLOOKUP($A59,Cur_Budget,Cur_Month+18)</f>
        <v>250</v>
      </c>
      <c r="H59" s="7">
        <f t="shared" ref="H59:H61" si="25">IF(G59=0,"NA",-(+F59-G59)/G59)</f>
        <v>1.1570799999999999</v>
      </c>
      <c r="I59" s="123">
        <f>VLOOKUP($A59,PY_Actual,Cur_Month+18)</f>
        <v>524.92999999999995</v>
      </c>
      <c r="J59" s="7">
        <f t="shared" ref="J59:J61" si="26">IF(I59=0,"NA",-(+F59-I59)/I59)</f>
        <v>1.0748099746632884</v>
      </c>
      <c r="L59" s="123">
        <f>+'Current Year Budget'!R59-'YTD Report'!F59</f>
        <v>339.27</v>
      </c>
      <c r="M59" s="7">
        <f>IF('Current Year Budget'!R59=0,0,+L59/'Current Year Budget'!R59)</f>
        <v>1.1309</v>
      </c>
      <c r="N59" s="234" t="s">
        <v>218</v>
      </c>
    </row>
    <row r="60" spans="1:15" hidden="1" outlineLevel="1" x14ac:dyDescent="0.25">
      <c r="A60" s="106">
        <v>55</v>
      </c>
      <c r="C60" s="1" t="s">
        <v>128</v>
      </c>
      <c r="F60" s="108">
        <f>VLOOKUP($A60,Cur_Actuals,Cur_Month+18)</f>
        <v>1050.23</v>
      </c>
      <c r="G60" s="108">
        <f>VLOOKUP($A60,Cur_Budget,Cur_Month+18)</f>
        <v>333.2999999999999</v>
      </c>
      <c r="H60" s="7">
        <f t="shared" si="25"/>
        <v>-2.1510051005100519</v>
      </c>
      <c r="I60" s="123">
        <f>VLOOKUP($A60,PY_Actual,Cur_Month+18)</f>
        <v>228.62</v>
      </c>
      <c r="J60" s="7">
        <f t="shared" si="26"/>
        <v>-3.5937800717347566</v>
      </c>
      <c r="L60" s="123">
        <f>+'Current Year Budget'!R60-'YTD Report'!F60</f>
        <v>-650.23</v>
      </c>
      <c r="M60" s="7">
        <f>IF('Current Year Budget'!R60=0,0,+L60/'Current Year Budget'!R60)</f>
        <v>-1.625575</v>
      </c>
      <c r="N60" s="234"/>
    </row>
    <row r="61" spans="1:15" s="5" customFormat="1" collapsed="1" x14ac:dyDescent="0.25">
      <c r="A61" s="106">
        <v>56</v>
      </c>
      <c r="B61" s="51" t="s">
        <v>127</v>
      </c>
      <c r="C61" s="51"/>
      <c r="D61" s="51"/>
      <c r="F61" s="116">
        <f>SUM(F59:F60)</f>
        <v>1010.96</v>
      </c>
      <c r="G61" s="116">
        <f>SUM(G59:G60)</f>
        <v>583.29999999999995</v>
      </c>
      <c r="H61" s="28">
        <f t="shared" si="25"/>
        <v>-0.73317332418995396</v>
      </c>
      <c r="I61" s="128">
        <f>SUM(I59:I60)</f>
        <v>753.55</v>
      </c>
      <c r="J61" s="28">
        <f t="shared" si="26"/>
        <v>-0.34159644350076318</v>
      </c>
      <c r="L61" s="128">
        <f>SUM(L59:L60)</f>
        <v>-310.96000000000004</v>
      </c>
      <c r="M61" s="28">
        <f>IF('Current Year Budget'!R61=0,0,+L61/'Current Year Budget'!R61)</f>
        <v>-0.44422857142857147</v>
      </c>
      <c r="N61" s="234"/>
    </row>
    <row r="62" spans="1:15" ht="5.25" hidden="1" customHeight="1" outlineLevel="2" x14ac:dyDescent="0.25">
      <c r="A62" s="106">
        <v>57</v>
      </c>
      <c r="F62" s="110"/>
      <c r="G62" s="110"/>
      <c r="I62" s="125"/>
      <c r="L62" s="125"/>
    </row>
    <row r="63" spans="1:15" collapsed="1" x14ac:dyDescent="0.25">
      <c r="A63" s="106">
        <v>58</v>
      </c>
      <c r="B63" s="51" t="s">
        <v>36</v>
      </c>
      <c r="C63" s="30"/>
      <c r="D63" s="30"/>
      <c r="F63" s="117">
        <f>VLOOKUP($A63,Cur_Actuals,Cur_Month+18)</f>
        <v>240</v>
      </c>
      <c r="G63" s="117">
        <f>VLOOKUP($A63,Cur_Budget,Cur_Month+18)</f>
        <v>166.70000000000005</v>
      </c>
      <c r="H63" s="154">
        <f t="shared" ref="H63" si="27">IF(G63=0,"NA",-(+F63-G63)/G63)</f>
        <v>-0.43971205758848192</v>
      </c>
      <c r="I63" s="129">
        <f>VLOOKUP($A63,PY_Actual,Cur_Month+18)</f>
        <v>223.73</v>
      </c>
      <c r="J63" s="154">
        <f t="shared" ref="J63" si="28">IF(I63=0,"NA",-(+F63-I63)/I63)</f>
        <v>-7.2721584052205829E-2</v>
      </c>
      <c r="L63" s="129">
        <f>+'Current Year Budget'!R63-'YTD Report'!F63</f>
        <v>-40</v>
      </c>
      <c r="M63" s="154">
        <f>IF('Current Year Budget'!R63=0,0,+L63/'Current Year Budget'!R63)</f>
        <v>-0.2</v>
      </c>
    </row>
    <row r="64" spans="1:15" ht="6" hidden="1" customHeight="1" outlineLevel="1" x14ac:dyDescent="0.25">
      <c r="A64" s="106">
        <v>59</v>
      </c>
      <c r="F64" s="110"/>
      <c r="G64" s="110"/>
      <c r="I64" s="125"/>
      <c r="L64" s="125"/>
    </row>
    <row r="65" spans="1:14" hidden="1" outlineLevel="1" x14ac:dyDescent="0.25">
      <c r="A65" s="106">
        <v>60</v>
      </c>
      <c r="B65" s="5" t="s">
        <v>37</v>
      </c>
      <c r="F65" s="110"/>
      <c r="G65" s="110"/>
      <c r="I65" s="125"/>
      <c r="L65" s="125"/>
    </row>
    <row r="66" spans="1:14" hidden="1" outlineLevel="1" x14ac:dyDescent="0.25">
      <c r="A66" s="106">
        <v>61</v>
      </c>
      <c r="C66" s="1" t="s">
        <v>38</v>
      </c>
      <c r="F66" s="108">
        <f>VLOOKUP($A66,Cur_Actuals,Cur_Month+18)</f>
        <v>99.95</v>
      </c>
      <c r="G66" s="108">
        <f>VLOOKUP($A66,Cur_Budget,Cur_Month+18)</f>
        <v>150</v>
      </c>
      <c r="H66" s="7">
        <f t="shared" ref="H66:H71" si="29">IF(G66=0,"NA",-(+F66-G66)/G66)</f>
        <v>0.33366666666666667</v>
      </c>
      <c r="I66" s="123">
        <f>VLOOKUP($A66,PY_Actual,Cur_Month+18)</f>
        <v>0</v>
      </c>
      <c r="J66" s="7" t="str">
        <f t="shared" ref="J66:J71" si="30">IF(I66=0,"NA",-(+F66-I66)/I66)</f>
        <v>NA</v>
      </c>
      <c r="L66" s="123">
        <f>+'Current Year Budget'!R66-'YTD Report'!F66</f>
        <v>200.05</v>
      </c>
      <c r="M66" s="7">
        <f>IF('Current Year Budget'!R66=0,0,+L66/'Current Year Budget'!R66)</f>
        <v>0.66683333333333339</v>
      </c>
    </row>
    <row r="67" spans="1:14" hidden="1" outlineLevel="1" x14ac:dyDescent="0.25">
      <c r="A67" s="106">
        <v>62</v>
      </c>
      <c r="C67" s="1" t="s">
        <v>39</v>
      </c>
      <c r="F67" s="108">
        <f>VLOOKUP($A67,Cur_Actuals,Cur_Month+18)</f>
        <v>0</v>
      </c>
      <c r="G67" s="108">
        <f>VLOOKUP($A67,Cur_Budget,Cur_Month+18)</f>
        <v>1000</v>
      </c>
      <c r="H67" s="7">
        <f t="shared" si="29"/>
        <v>1</v>
      </c>
      <c r="I67" s="123">
        <f>VLOOKUP($A67,PY_Actual,Cur_Month+18)</f>
        <v>948.86</v>
      </c>
      <c r="J67" s="7">
        <f t="shared" si="30"/>
        <v>1</v>
      </c>
      <c r="L67" s="123">
        <f>+'Current Year Budget'!R67-'YTD Report'!F67</f>
        <v>1000</v>
      </c>
      <c r="M67" s="7">
        <f>IF('Current Year Budget'!R67=0,0,+L67/'Current Year Budget'!R67)</f>
        <v>1</v>
      </c>
      <c r="N67" s="197"/>
    </row>
    <row r="68" spans="1:14" hidden="1" outlineLevel="1" x14ac:dyDescent="0.25">
      <c r="A68" s="106">
        <v>63</v>
      </c>
      <c r="C68" s="1" t="s">
        <v>40</v>
      </c>
      <c r="F68" s="108">
        <f>VLOOKUP($A68,Cur_Actuals,Cur_Month+18)</f>
        <v>950.96</v>
      </c>
      <c r="G68" s="108">
        <f>VLOOKUP($A68,Cur_Budget,Cur_Month+18)</f>
        <v>700</v>
      </c>
      <c r="H68" s="7">
        <f t="shared" si="29"/>
        <v>-0.35851428571428579</v>
      </c>
      <c r="I68" s="123">
        <f>VLOOKUP($A68,PY_Actual,Cur_Month+18)</f>
        <v>1020</v>
      </c>
      <c r="J68" s="7">
        <f t="shared" si="30"/>
        <v>6.7686274509803884E-2</v>
      </c>
      <c r="L68" s="123">
        <f>+'Current Year Budget'!R68-'YTD Report'!F68</f>
        <v>-250.96000000000004</v>
      </c>
      <c r="M68" s="7">
        <f>IF('Current Year Budget'!R68=0,0,+L68/'Current Year Budget'!R68)</f>
        <v>-0.35851428571428579</v>
      </c>
      <c r="N68" s="197" t="s">
        <v>219</v>
      </c>
    </row>
    <row r="69" spans="1:14" hidden="1" outlineLevel="1" x14ac:dyDescent="0.25">
      <c r="A69" s="106">
        <v>64</v>
      </c>
      <c r="C69" s="1" t="s">
        <v>41</v>
      </c>
      <c r="F69" s="108">
        <f>VLOOKUP($A69,Cur_Actuals,Cur_Month+18)</f>
        <v>-117.80999999999999</v>
      </c>
      <c r="G69" s="108">
        <f>VLOOKUP($A69,Cur_Budget,Cur_Month+18)</f>
        <v>500</v>
      </c>
      <c r="H69" s="7">
        <f t="shared" si="29"/>
        <v>1.2356199999999999</v>
      </c>
      <c r="I69" s="123">
        <f>VLOOKUP($A69,PY_Actual,Cur_Month+18)</f>
        <v>0</v>
      </c>
      <c r="J69" s="7" t="str">
        <f t="shared" si="30"/>
        <v>NA</v>
      </c>
      <c r="L69" s="123">
        <f>+'Current Year Budget'!R69-'YTD Report'!F69</f>
        <v>717.81</v>
      </c>
      <c r="M69" s="7">
        <f>IF('Current Year Budget'!R69=0,0,+L69/'Current Year Budget'!R69)</f>
        <v>1.1963499999999998</v>
      </c>
      <c r="N69" s="197"/>
    </row>
    <row r="70" spans="1:14" hidden="1" outlineLevel="1" x14ac:dyDescent="0.25">
      <c r="A70" s="106">
        <v>65</v>
      </c>
      <c r="C70" s="1" t="s">
        <v>42</v>
      </c>
      <c r="F70" s="108">
        <f>VLOOKUP($A70,Cur_Actuals,Cur_Month+18)</f>
        <v>0</v>
      </c>
      <c r="G70" s="108">
        <f>VLOOKUP($A70,Cur_Budget,Cur_Month+18)</f>
        <v>666.69999999999993</v>
      </c>
      <c r="H70" s="7">
        <f t="shared" si="29"/>
        <v>1</v>
      </c>
      <c r="I70" s="123">
        <f>VLOOKUP($A70,PY_Actual,Cur_Month+18)</f>
        <v>0</v>
      </c>
      <c r="J70" s="7" t="str">
        <f t="shared" si="30"/>
        <v>NA</v>
      </c>
      <c r="L70" s="123">
        <f>+'Current Year Budget'!R70-'YTD Report'!F70</f>
        <v>800</v>
      </c>
      <c r="M70" s="7">
        <f>IF('Current Year Budget'!R70=0,0,+L70/'Current Year Budget'!R70)</f>
        <v>1</v>
      </c>
      <c r="N70" s="197"/>
    </row>
    <row r="71" spans="1:14" s="5" customFormat="1" collapsed="1" x14ac:dyDescent="0.25">
      <c r="A71" s="106">
        <v>66</v>
      </c>
      <c r="B71" s="51" t="s">
        <v>43</v>
      </c>
      <c r="C71" s="51"/>
      <c r="D71" s="51"/>
      <c r="F71" s="116">
        <f>SUM(F66:F70)</f>
        <v>933.10000000000014</v>
      </c>
      <c r="G71" s="116">
        <f>SUM(G66:G70)</f>
        <v>3016.7</v>
      </c>
      <c r="H71" s="28">
        <f t="shared" si="29"/>
        <v>0.69068850067955034</v>
      </c>
      <c r="I71" s="128">
        <f>SUM(I66:I70)</f>
        <v>1968.8600000000001</v>
      </c>
      <c r="J71" s="28">
        <f t="shared" si="30"/>
        <v>0.52607092429121416</v>
      </c>
      <c r="L71" s="128">
        <f>SUM(L66:L70)</f>
        <v>2466.8999999999996</v>
      </c>
      <c r="M71" s="28">
        <f>IF('Current Year Budget'!R71=0,0,+L71/'Current Year Budget'!R71)</f>
        <v>0.7255588235294117</v>
      </c>
      <c r="N71" s="197"/>
    </row>
    <row r="72" spans="1:14" ht="6" hidden="1" customHeight="1" outlineLevel="1" x14ac:dyDescent="0.25">
      <c r="A72" s="106">
        <v>67</v>
      </c>
      <c r="F72" s="110"/>
      <c r="G72" s="110"/>
      <c r="I72" s="125"/>
      <c r="L72" s="125"/>
    </row>
    <row r="73" spans="1:14" hidden="1" outlineLevel="1" x14ac:dyDescent="0.25">
      <c r="A73" s="106">
        <v>68</v>
      </c>
      <c r="B73" s="5" t="s">
        <v>44</v>
      </c>
      <c r="F73" s="110"/>
      <c r="G73" s="110"/>
      <c r="I73" s="125"/>
      <c r="L73" s="125"/>
    </row>
    <row r="74" spans="1:14" hidden="1" outlineLevel="1" x14ac:dyDescent="0.25">
      <c r="A74" s="106">
        <v>69</v>
      </c>
      <c r="C74" s="1" t="s">
        <v>45</v>
      </c>
      <c r="F74" s="108">
        <f t="shared" ref="F74:F80" si="31">VLOOKUP($A74,Cur_Actuals,Cur_Month+18)</f>
        <v>4148.04</v>
      </c>
      <c r="G74" s="108">
        <f t="shared" ref="G74:G80" si="32">VLOOKUP($A74,Cur_Budget,Cur_Month+18)</f>
        <v>4583.3</v>
      </c>
      <c r="H74" s="7">
        <f t="shared" ref="H74:H82" si="33">IF(G74=0,"NA",-(+F74-G74)/G74)</f>
        <v>9.4966508847337122E-2</v>
      </c>
      <c r="I74" s="123">
        <f t="shared" ref="I74:I80" si="34">VLOOKUP($A74,PY_Actual,Cur_Month+18)</f>
        <v>4162.8600000000006</v>
      </c>
      <c r="J74" s="7">
        <f t="shared" ref="J74:J82" si="35">IF(I74=0,"NA",-(+F74-I74)/I74)</f>
        <v>3.5600524639311953E-3</v>
      </c>
      <c r="L74" s="123">
        <f>+'Current Year Budget'!R74-'YTD Report'!F74</f>
        <v>1351.96</v>
      </c>
      <c r="M74" s="7">
        <f>IF('Current Year Budget'!R74=0,0,+L74/'Current Year Budget'!R74)</f>
        <v>0.24581090909090911</v>
      </c>
    </row>
    <row r="75" spans="1:14" hidden="1" outlineLevel="1" x14ac:dyDescent="0.25">
      <c r="A75" s="106">
        <v>70</v>
      </c>
      <c r="C75" s="1" t="s">
        <v>46</v>
      </c>
      <c r="F75" s="108">
        <f t="shared" si="31"/>
        <v>3978.22</v>
      </c>
      <c r="G75" s="108">
        <f t="shared" si="32"/>
        <v>4166.7</v>
      </c>
      <c r="H75" s="7">
        <f t="shared" si="33"/>
        <v>4.5234838121295036E-2</v>
      </c>
      <c r="I75" s="123">
        <f t="shared" si="34"/>
        <v>4481.5</v>
      </c>
      <c r="J75" s="7">
        <f t="shared" si="35"/>
        <v>0.11230168470378225</v>
      </c>
      <c r="L75" s="123">
        <f>+'Current Year Budget'!R75-'YTD Report'!F75</f>
        <v>1021.7800000000002</v>
      </c>
      <c r="M75" s="7">
        <f>IF('Current Year Budget'!R75=0,0,+L75/'Current Year Budget'!R75)</f>
        <v>0.20435600000000004</v>
      </c>
    </row>
    <row r="76" spans="1:14" hidden="1" outlineLevel="1" x14ac:dyDescent="0.25">
      <c r="A76" s="106">
        <v>71</v>
      </c>
      <c r="C76" s="1" t="s">
        <v>145</v>
      </c>
      <c r="F76" s="108">
        <f t="shared" si="31"/>
        <v>632.45000000000005</v>
      </c>
      <c r="G76" s="108">
        <f t="shared" si="32"/>
        <v>416.7000000000001</v>
      </c>
      <c r="H76" s="7">
        <f t="shared" si="33"/>
        <v>-0.51775857931365465</v>
      </c>
      <c r="I76" s="123">
        <f t="shared" si="34"/>
        <v>168</v>
      </c>
      <c r="J76" s="7">
        <f t="shared" si="35"/>
        <v>-2.7645833333333334</v>
      </c>
      <c r="L76" s="123">
        <f>+'Current Year Budget'!R76-'YTD Report'!F76</f>
        <v>-132.45000000000005</v>
      </c>
      <c r="M76" s="7">
        <f>IF('Current Year Budget'!R76=0,0,+L76/'Current Year Budget'!R76)</f>
        <v>-0.26490000000000008</v>
      </c>
    </row>
    <row r="77" spans="1:14" hidden="1" outlineLevel="1" x14ac:dyDescent="0.25">
      <c r="A77" s="106">
        <v>72</v>
      </c>
      <c r="C77" s="1" t="s">
        <v>47</v>
      </c>
      <c r="F77" s="108">
        <f t="shared" si="31"/>
        <v>0</v>
      </c>
      <c r="G77" s="108">
        <f t="shared" si="32"/>
        <v>0</v>
      </c>
      <c r="H77" s="7" t="str">
        <f t="shared" si="33"/>
        <v>NA</v>
      </c>
      <c r="I77" s="123">
        <f t="shared" si="34"/>
        <v>379.5</v>
      </c>
      <c r="J77" s="7">
        <f t="shared" si="35"/>
        <v>1</v>
      </c>
      <c r="L77" s="123">
        <f>+'Current Year Budget'!R77-'YTD Report'!F77</f>
        <v>0</v>
      </c>
      <c r="M77" s="7">
        <f>IF('Current Year Budget'!R77=0,0,+L77/'Current Year Budget'!R77)</f>
        <v>0</v>
      </c>
    </row>
    <row r="78" spans="1:14" hidden="1" outlineLevel="1" x14ac:dyDescent="0.25">
      <c r="A78" s="106">
        <v>73</v>
      </c>
      <c r="C78" s="1" t="s">
        <v>48</v>
      </c>
      <c r="F78" s="108">
        <f t="shared" si="31"/>
        <v>15988.25</v>
      </c>
      <c r="G78" s="108">
        <f t="shared" si="32"/>
        <v>14166.7</v>
      </c>
      <c r="H78" s="7">
        <f t="shared" si="33"/>
        <v>-0.12857969745953532</v>
      </c>
      <c r="I78" s="123">
        <f t="shared" si="34"/>
        <v>15590.499999999998</v>
      </c>
      <c r="J78" s="7">
        <f t="shared" si="35"/>
        <v>-2.5512331227350107E-2</v>
      </c>
      <c r="L78" s="123">
        <f>+'Current Year Budget'!R78-'YTD Report'!F78</f>
        <v>1011.75</v>
      </c>
      <c r="M78" s="7">
        <f>IF('Current Year Budget'!R78=0,0,+L78/'Current Year Budget'!R78)</f>
        <v>5.9514705882352942E-2</v>
      </c>
    </row>
    <row r="79" spans="1:14" hidden="1" outlineLevel="1" x14ac:dyDescent="0.25">
      <c r="A79" s="106">
        <v>74</v>
      </c>
      <c r="C79" s="1" t="s">
        <v>49</v>
      </c>
      <c r="F79" s="108">
        <f t="shared" si="31"/>
        <v>806.03</v>
      </c>
      <c r="G79" s="108">
        <f t="shared" si="32"/>
        <v>687.5</v>
      </c>
      <c r="H79" s="7">
        <f t="shared" si="33"/>
        <v>-0.17240727272727269</v>
      </c>
      <c r="I79" s="123">
        <f t="shared" si="34"/>
        <v>463.90999999999997</v>
      </c>
      <c r="J79" s="7">
        <f t="shared" si="35"/>
        <v>-0.73747063007911018</v>
      </c>
      <c r="L79" s="123">
        <f>+'Current Year Budget'!R79-'YTD Report'!F79</f>
        <v>18.970000000000027</v>
      </c>
      <c r="M79" s="7">
        <f>IF('Current Year Budget'!R79=0,0,+L79/'Current Year Budget'!R79)</f>
        <v>2.2993939393939428E-2</v>
      </c>
    </row>
    <row r="80" spans="1:14" hidden="1" outlineLevel="1" x14ac:dyDescent="0.25">
      <c r="A80" s="106">
        <v>75</v>
      </c>
      <c r="C80" s="1" t="s">
        <v>50</v>
      </c>
      <c r="F80" s="108">
        <f t="shared" si="31"/>
        <v>1376.86</v>
      </c>
      <c r="G80" s="108">
        <f t="shared" si="32"/>
        <v>1250</v>
      </c>
      <c r="H80" s="7">
        <f t="shared" si="33"/>
        <v>-0.10148799999999993</v>
      </c>
      <c r="I80" s="123">
        <f t="shared" si="34"/>
        <v>1176.1099999999999</v>
      </c>
      <c r="J80" s="7">
        <f t="shared" si="35"/>
        <v>-0.17068981642873543</v>
      </c>
      <c r="L80" s="123">
        <f>+'Current Year Budget'!R80-'YTD Report'!F80</f>
        <v>123.1400000000001</v>
      </c>
      <c r="M80" s="7">
        <f>IF('Current Year Budget'!R80=0,0,+L80/'Current Year Budget'!R80)</f>
        <v>8.2093333333333393E-2</v>
      </c>
    </row>
    <row r="81" spans="1:13" s="5" customFormat="1" collapsed="1" x14ac:dyDescent="0.25">
      <c r="A81" s="106">
        <v>76</v>
      </c>
      <c r="B81" s="51" t="s">
        <v>53</v>
      </c>
      <c r="C81" s="51"/>
      <c r="D81" s="51"/>
      <c r="F81" s="116">
        <f>SUM(F74:F80)</f>
        <v>26929.85</v>
      </c>
      <c r="G81" s="116">
        <f>SUM(G74:G80)</f>
        <v>25270.9</v>
      </c>
      <c r="H81" s="28">
        <f t="shared" si="33"/>
        <v>-6.5646652869505911E-2</v>
      </c>
      <c r="I81" s="128">
        <f>SUM(I74:I80)</f>
        <v>26422.38</v>
      </c>
      <c r="J81" s="28">
        <f t="shared" si="35"/>
        <v>-1.9206066978069255E-2</v>
      </c>
      <c r="L81" s="128">
        <f>SUM(L74:L80)</f>
        <v>3395.1500000000005</v>
      </c>
      <c r="M81" s="28">
        <f>IF('Current Year Budget'!R81=0,0,+L81/'Current Year Budget'!R81)</f>
        <v>0.11195877988458369</v>
      </c>
    </row>
    <row r="82" spans="1:13" x14ac:dyDescent="0.25">
      <c r="A82" s="106">
        <v>77</v>
      </c>
      <c r="B82" s="51" t="s">
        <v>126</v>
      </c>
      <c r="C82" s="32"/>
      <c r="D82" s="32"/>
      <c r="F82" s="116">
        <f>+F41+F43+F50+F56+F63+F71+F81+F61</f>
        <v>43391.229999999996</v>
      </c>
      <c r="G82" s="116">
        <f>+G41+G43+G50+G56+G63+G71+G81+G61</f>
        <v>47679.200000000004</v>
      </c>
      <c r="H82" s="28">
        <f t="shared" si="33"/>
        <v>8.9933765667209356E-2</v>
      </c>
      <c r="I82" s="128">
        <f>+I41+I43+I50+I56+I63+I71+I81+I61</f>
        <v>46123.98</v>
      </c>
      <c r="J82" s="28">
        <f t="shared" si="35"/>
        <v>5.9247922664089417E-2</v>
      </c>
      <c r="L82" s="128">
        <f>+L41+L43+L50+L56+L63+L71+L81+L61</f>
        <v>13583.77</v>
      </c>
      <c r="M82" s="28">
        <f>IF('Current Year Budget'!R82=0,0,+L82/'Current Year Budget'!R82)</f>
        <v>0.23841632294866169</v>
      </c>
    </row>
    <row r="83" spans="1:13" ht="8.25" customHeight="1" x14ac:dyDescent="0.25">
      <c r="A83" s="106">
        <v>78</v>
      </c>
      <c r="F83" s="110"/>
      <c r="G83" s="110"/>
      <c r="I83" s="125"/>
      <c r="L83" s="125"/>
    </row>
    <row r="84" spans="1:13" ht="18.75" x14ac:dyDescent="0.25">
      <c r="A84" s="106">
        <v>79</v>
      </c>
      <c r="B84" s="11" t="s">
        <v>51</v>
      </c>
      <c r="F84" s="110"/>
      <c r="G84" s="110"/>
      <c r="I84" s="125"/>
      <c r="L84" s="125"/>
    </row>
    <row r="85" spans="1:13" hidden="1" outlineLevel="1" x14ac:dyDescent="0.25">
      <c r="A85" s="106">
        <v>80</v>
      </c>
      <c r="B85" s="5" t="s">
        <v>52</v>
      </c>
      <c r="F85" s="110"/>
      <c r="G85" s="110"/>
      <c r="I85" s="125"/>
      <c r="L85" s="125"/>
    </row>
    <row r="86" spans="1:13" hidden="1" outlineLevel="1" x14ac:dyDescent="0.25">
      <c r="A86" s="106">
        <v>81</v>
      </c>
      <c r="C86" s="1" t="s">
        <v>54</v>
      </c>
      <c r="F86" s="108">
        <f>VLOOKUP($A86,Cur_Actuals,Cur_Month+18)</f>
        <v>74842.83</v>
      </c>
      <c r="G86" s="108">
        <f>VLOOKUP($A86,Cur_Budget,Cur_Month+18)</f>
        <v>75525.8</v>
      </c>
      <c r="H86" s="7">
        <f t="shared" ref="H86:H91" si="36">IF(G86=0,"NA",-(+F86-G86)/G86)</f>
        <v>9.042870118555528E-3</v>
      </c>
      <c r="I86" s="123">
        <f>VLOOKUP($A86,PY_Actual,Cur_Month+18)</f>
        <v>74167.83</v>
      </c>
      <c r="J86" s="7">
        <f t="shared" ref="J86:J91" si="37">IF(I86=0,"NA",-(+F86-I86)/I86)</f>
        <v>-9.1009808430420579E-3</v>
      </c>
      <c r="L86" s="123">
        <f>+'Current Year Budget'!R86-'YTD Report'!F86</f>
        <v>15788.169999999998</v>
      </c>
      <c r="M86" s="7">
        <f>IF('Current Year Budget'!R86=0,0,+L86/'Current Year Budget'!R86)</f>
        <v>0.17420275623131157</v>
      </c>
    </row>
    <row r="87" spans="1:13" hidden="1" outlineLevel="1" x14ac:dyDescent="0.25">
      <c r="A87" s="106">
        <v>82</v>
      </c>
      <c r="C87" s="1" t="s">
        <v>55</v>
      </c>
      <c r="F87" s="108">
        <f>VLOOKUP($A87,Cur_Actuals,Cur_Month+18)</f>
        <v>2500</v>
      </c>
      <c r="G87" s="108">
        <f>VLOOKUP($A87,Cur_Budget,Cur_Month+18)</f>
        <v>2500</v>
      </c>
      <c r="H87" s="7">
        <f t="shared" si="36"/>
        <v>0</v>
      </c>
      <c r="I87" s="123">
        <f>VLOOKUP($A87,PY_Actual,Cur_Month+18)</f>
        <v>2500</v>
      </c>
      <c r="J87" s="7">
        <f t="shared" si="37"/>
        <v>0</v>
      </c>
      <c r="L87" s="123">
        <f>+'Current Year Budget'!R87-'YTD Report'!F87</f>
        <v>500</v>
      </c>
      <c r="M87" s="7">
        <f>IF('Current Year Budget'!R87=0,0,+L87/'Current Year Budget'!R87)</f>
        <v>0.16666666666666666</v>
      </c>
    </row>
    <row r="88" spans="1:13" hidden="1" outlineLevel="1" x14ac:dyDescent="0.25">
      <c r="A88" s="106">
        <v>83</v>
      </c>
      <c r="C88" s="1" t="s">
        <v>56</v>
      </c>
      <c r="F88" s="108">
        <f>VLOOKUP($A88,Cur_Actuals,Cur_Month+18)</f>
        <v>28101.1</v>
      </c>
      <c r="G88" s="108">
        <f>VLOOKUP($A88,Cur_Budget,Cur_Month+18)</f>
        <v>28361.699999999997</v>
      </c>
      <c r="H88" s="7">
        <f t="shared" si="36"/>
        <v>9.1884478010838058E-3</v>
      </c>
      <c r="I88" s="123">
        <f>VLOOKUP($A88,PY_Actual,Cur_Month+18)</f>
        <v>28206.6</v>
      </c>
      <c r="J88" s="7">
        <f t="shared" si="37"/>
        <v>3.7402593719200474E-3</v>
      </c>
      <c r="L88" s="123">
        <f>+'Current Year Budget'!R88-'YTD Report'!F88</f>
        <v>5932.9000000000015</v>
      </c>
      <c r="M88" s="7">
        <f>IF('Current Year Budget'!R88=0,0,+L88/'Current Year Budget'!R88)</f>
        <v>0.174322736087442</v>
      </c>
    </row>
    <row r="89" spans="1:13" hidden="1" outlineLevel="1" x14ac:dyDescent="0.25">
      <c r="A89" s="106">
        <v>84</v>
      </c>
      <c r="C89" s="1" t="s">
        <v>57</v>
      </c>
      <c r="F89" s="108">
        <f>VLOOKUP($A89,Cur_Actuals,Cur_Month+18)</f>
        <v>3957.4</v>
      </c>
      <c r="G89" s="108">
        <f>VLOOKUP($A89,Cur_Budget,Cur_Month+18)</f>
        <v>3333.2999999999997</v>
      </c>
      <c r="H89" s="7">
        <f t="shared" si="36"/>
        <v>-0.18723187231872332</v>
      </c>
      <c r="I89" s="123">
        <f>VLOOKUP($A89,PY_Actual,Cur_Month+18)</f>
        <v>3880.9</v>
      </c>
      <c r="J89" s="7">
        <f t="shared" si="37"/>
        <v>-1.9711922492205415E-2</v>
      </c>
      <c r="L89" s="123">
        <f>+'Current Year Budget'!R89-'YTD Report'!F89</f>
        <v>42.599999999999909</v>
      </c>
      <c r="M89" s="7">
        <f>IF('Current Year Budget'!R89=0,0,+L89/'Current Year Budget'!R89)</f>
        <v>1.0649999999999977E-2</v>
      </c>
    </row>
    <row r="90" spans="1:13" hidden="1" outlineLevel="1" x14ac:dyDescent="0.25">
      <c r="A90" s="106">
        <v>85</v>
      </c>
      <c r="C90" s="1" t="s">
        <v>58</v>
      </c>
      <c r="F90" s="108">
        <f>VLOOKUP($A90,Cur_Actuals,Cur_Month+18)</f>
        <v>2239.13</v>
      </c>
      <c r="G90" s="108">
        <f>VLOOKUP($A90,Cur_Budget,Cur_Month+18)</f>
        <v>2500</v>
      </c>
      <c r="H90" s="7">
        <f t="shared" si="36"/>
        <v>0.10434799999999995</v>
      </c>
      <c r="I90" s="123">
        <f>VLOOKUP($A90,PY_Actual,Cur_Month+18)</f>
        <v>3000</v>
      </c>
      <c r="J90" s="7">
        <f t="shared" si="37"/>
        <v>0.25362333333333331</v>
      </c>
      <c r="L90" s="123">
        <f>+'Current Year Budget'!R90-'YTD Report'!F90</f>
        <v>760.86999999999989</v>
      </c>
      <c r="M90" s="7">
        <f>IF('Current Year Budget'!R90=0,0,+L90/'Current Year Budget'!R90)</f>
        <v>0.25362333333333331</v>
      </c>
    </row>
    <row r="91" spans="1:13" s="5" customFormat="1" collapsed="1" x14ac:dyDescent="0.25">
      <c r="A91" s="106">
        <v>86</v>
      </c>
      <c r="B91" s="33" t="s">
        <v>59</v>
      </c>
      <c r="C91" s="33"/>
      <c r="D91" s="33"/>
      <c r="F91" s="119">
        <f>SUM(F86:F90)</f>
        <v>111640.45999999999</v>
      </c>
      <c r="G91" s="119">
        <f>SUM(G86:G90)</f>
        <v>112220.8</v>
      </c>
      <c r="H91" s="34">
        <f t="shared" si="36"/>
        <v>5.1714120733412257E-3</v>
      </c>
      <c r="I91" s="130">
        <f>SUM(I86:I90)</f>
        <v>111755.32999999999</v>
      </c>
      <c r="J91" s="34">
        <f t="shared" si="37"/>
        <v>1.0278704380363368E-3</v>
      </c>
      <c r="L91" s="130">
        <f>SUM(L86:L90)</f>
        <v>23024.539999999997</v>
      </c>
      <c r="M91" s="34">
        <f>IF('Current Year Budget'!R91=0,0,+L91/'Current Year Budget'!R91)</f>
        <v>0.17097642297553187</v>
      </c>
    </row>
    <row r="92" spans="1:13" ht="6.75" hidden="1" customHeight="1" outlineLevel="1" x14ac:dyDescent="0.25">
      <c r="A92" s="106">
        <v>87</v>
      </c>
      <c r="F92" s="110"/>
      <c r="G92" s="110"/>
      <c r="I92" s="125"/>
      <c r="L92" s="125"/>
    </row>
    <row r="93" spans="1:13" hidden="1" outlineLevel="1" x14ac:dyDescent="0.25">
      <c r="A93" s="106">
        <v>88</v>
      </c>
      <c r="B93" s="5" t="s">
        <v>60</v>
      </c>
      <c r="F93" s="110"/>
      <c r="G93" s="110"/>
      <c r="I93" s="125"/>
      <c r="L93" s="125"/>
    </row>
    <row r="94" spans="1:13" hidden="1" outlineLevel="1" x14ac:dyDescent="0.25">
      <c r="A94" s="106">
        <v>89</v>
      </c>
      <c r="C94" s="1" t="s">
        <v>61</v>
      </c>
      <c r="F94" s="108">
        <f>VLOOKUP($A94,Cur_Actuals,Cur_Month+18)</f>
        <v>9589.2000000000007</v>
      </c>
      <c r="G94" s="108">
        <f>VLOOKUP($A94,Cur_Budget,Cur_Month+18)</f>
        <v>9589.1999999999989</v>
      </c>
      <c r="H94" s="7">
        <f t="shared" ref="H94:H96" si="38">IF(G94=0,"NA",-(+F94-G94)/G94)</f>
        <v>-1.8969146576834948E-16</v>
      </c>
      <c r="I94" s="123">
        <f>VLOOKUP($A94,PY_Actual,Cur_Month+18)</f>
        <v>9422.6</v>
      </c>
      <c r="J94" s="7">
        <f t="shared" ref="J94:J96" si="39">IF(I94=0,"NA",-(+F94-I94)/I94)</f>
        <v>-1.7680894869781201E-2</v>
      </c>
      <c r="L94" s="123">
        <f>+'Current Year Budget'!R94-'YTD Report'!F94</f>
        <v>1917.7999999999993</v>
      </c>
      <c r="M94" s="7">
        <f>IF('Current Year Budget'!R94=0,0,+L94/'Current Year Budget'!R94)</f>
        <v>0.16666376987920389</v>
      </c>
    </row>
    <row r="95" spans="1:13" hidden="1" outlineLevel="1" x14ac:dyDescent="0.25">
      <c r="A95" s="106">
        <v>90</v>
      </c>
      <c r="C95" s="1" t="s">
        <v>62</v>
      </c>
      <c r="F95" s="108">
        <f>VLOOKUP($A95,Cur_Actuals,Cur_Month+18)</f>
        <v>4166.6000000000004</v>
      </c>
      <c r="G95" s="108">
        <f>VLOOKUP($A95,Cur_Budget,Cur_Month+18)</f>
        <v>4166.7</v>
      </c>
      <c r="H95" s="7">
        <f t="shared" si="38"/>
        <v>2.3999808001405023E-5</v>
      </c>
      <c r="I95" s="123">
        <f>VLOOKUP($A95,PY_Actual,Cur_Month+18)</f>
        <v>4166.5999999999995</v>
      </c>
      <c r="J95" s="7">
        <f t="shared" si="39"/>
        <v>-2.1828222094103786E-16</v>
      </c>
      <c r="L95" s="123">
        <f>+'Current Year Budget'!R95-'YTD Report'!F95</f>
        <v>833.39999999999964</v>
      </c>
      <c r="M95" s="7">
        <f>IF('Current Year Budget'!R95=0,0,+L95/'Current Year Budget'!R95)</f>
        <v>0.16667999999999994</v>
      </c>
    </row>
    <row r="96" spans="1:13" s="5" customFormat="1" collapsed="1" x14ac:dyDescent="0.25">
      <c r="A96" s="106">
        <v>91</v>
      </c>
      <c r="B96" s="33" t="s">
        <v>63</v>
      </c>
      <c r="C96" s="33"/>
      <c r="D96" s="33"/>
      <c r="F96" s="119">
        <f>SUM(F94:F95)</f>
        <v>13755.800000000001</v>
      </c>
      <c r="G96" s="119">
        <f>SUM(G94:G95)</f>
        <v>13755.899999999998</v>
      </c>
      <c r="H96" s="34">
        <f t="shared" si="38"/>
        <v>7.269607949805235E-6</v>
      </c>
      <c r="I96" s="130">
        <f>SUM(I94:I95)</f>
        <v>13589.2</v>
      </c>
      <c r="J96" s="34">
        <f t="shared" si="39"/>
        <v>-1.2259735672445793E-2</v>
      </c>
      <c r="L96" s="130">
        <f>SUM(L94:L95)</f>
        <v>2751.1999999999989</v>
      </c>
      <c r="M96" s="34">
        <f>IF('Current Year Budget'!R96=0,0,+L96/'Current Year Budget'!R96)</f>
        <v>0.16666868601199483</v>
      </c>
    </row>
    <row r="97" spans="1:13" ht="4.5" hidden="1" customHeight="1" outlineLevel="1" x14ac:dyDescent="0.25">
      <c r="A97" s="106">
        <v>92</v>
      </c>
      <c r="F97" s="110"/>
      <c r="G97" s="110"/>
      <c r="I97" s="125"/>
      <c r="L97" s="125"/>
    </row>
    <row r="98" spans="1:13" hidden="1" outlineLevel="1" x14ac:dyDescent="0.25">
      <c r="A98" s="106">
        <v>93</v>
      </c>
      <c r="B98" s="5" t="s">
        <v>64</v>
      </c>
      <c r="F98" s="110"/>
      <c r="G98" s="110"/>
      <c r="I98" s="125"/>
      <c r="L98" s="125"/>
    </row>
    <row r="99" spans="1:13" hidden="1" outlineLevel="1" x14ac:dyDescent="0.25">
      <c r="A99" s="106">
        <v>94</v>
      </c>
      <c r="C99" s="1" t="s">
        <v>61</v>
      </c>
      <c r="F99" s="108">
        <f>VLOOKUP($A99,Cur_Actuals,Cur_Month+18)</f>
        <v>11605.8</v>
      </c>
      <c r="G99" s="108">
        <f>VLOOKUP($A99,Cur_Budget,Cur_Month+18)</f>
        <v>11605.8</v>
      </c>
      <c r="H99" s="7">
        <f t="shared" ref="H99:H101" si="40">IF(G99=0,"NA",-(+F99-G99)/G99)</f>
        <v>0</v>
      </c>
      <c r="I99" s="123">
        <f>VLOOKUP($A99,PY_Actual,Cur_Month+18)</f>
        <v>11272.6</v>
      </c>
      <c r="J99" s="7">
        <f t="shared" ref="J99:J101" si="41">IF(I99=0,"NA",-(+F99-I99)/I99)</f>
        <v>-2.9558398239980032E-2</v>
      </c>
      <c r="L99" s="123">
        <f>+'Current Year Budget'!R99-'YTD Report'!F99</f>
        <v>2321.2000000000007</v>
      </c>
      <c r="M99" s="7">
        <f>IF('Current Year Budget'!R99=0,0,+L99/'Current Year Budget'!R99)</f>
        <v>0.16666906009908816</v>
      </c>
    </row>
    <row r="100" spans="1:13" hidden="1" outlineLevel="1" x14ac:dyDescent="0.25">
      <c r="A100" s="106">
        <v>95</v>
      </c>
      <c r="C100" s="1" t="s">
        <v>65</v>
      </c>
      <c r="F100" s="108">
        <f>VLOOKUP($A100,Cur_Actuals,Cur_Month+18)</f>
        <v>776.88</v>
      </c>
      <c r="G100" s="108">
        <f>VLOOKUP($A100,Cur_Budget,Cur_Month+18)</f>
        <v>625</v>
      </c>
      <c r="H100" s="7">
        <f t="shared" si="40"/>
        <v>-0.243008</v>
      </c>
      <c r="I100" s="123">
        <f>VLOOKUP($A100,PY_Actual,Cur_Month+18)</f>
        <v>595.63</v>
      </c>
      <c r="J100" s="7">
        <f t="shared" si="41"/>
        <v>-0.30429964911102531</v>
      </c>
      <c r="L100" s="123">
        <f>+'Current Year Budget'!R100-'YTD Report'!F100</f>
        <v>-26.879999999999995</v>
      </c>
      <c r="M100" s="7">
        <f>IF('Current Year Budget'!R100=0,0,+L100/'Current Year Budget'!R100)</f>
        <v>-3.5839999999999997E-2</v>
      </c>
    </row>
    <row r="101" spans="1:13" s="5" customFormat="1" collapsed="1" x14ac:dyDescent="0.25">
      <c r="A101" s="106">
        <v>96</v>
      </c>
      <c r="B101" s="33" t="s">
        <v>66</v>
      </c>
      <c r="C101" s="33"/>
      <c r="D101" s="33"/>
      <c r="F101" s="119">
        <f>SUM(F99:F100)</f>
        <v>12382.679999999998</v>
      </c>
      <c r="G101" s="119">
        <f>SUM(G99:G100)</f>
        <v>12230.8</v>
      </c>
      <c r="H101" s="34">
        <f t="shared" si="40"/>
        <v>-1.2417830395395167E-2</v>
      </c>
      <c r="I101" s="130">
        <f>SUM(I99:I100)</f>
        <v>11868.23</v>
      </c>
      <c r="J101" s="34">
        <f t="shared" si="41"/>
        <v>-4.3346817511962517E-2</v>
      </c>
      <c r="L101" s="130">
        <f>SUM(L99:L100)</f>
        <v>2294.3200000000006</v>
      </c>
      <c r="M101" s="34">
        <f>IF('Current Year Budget'!R101=0,0,+L101/'Current Year Budget'!R101)</f>
        <v>0.1563207740001363</v>
      </c>
    </row>
    <row r="102" spans="1:13" ht="6" hidden="1" customHeight="1" outlineLevel="1" x14ac:dyDescent="0.25">
      <c r="A102" s="106">
        <v>97</v>
      </c>
      <c r="F102" s="110"/>
      <c r="G102" s="110"/>
      <c r="I102" s="125"/>
      <c r="L102" s="125"/>
    </row>
    <row r="103" spans="1:13" hidden="1" outlineLevel="1" x14ac:dyDescent="0.25">
      <c r="A103" s="106">
        <v>98</v>
      </c>
      <c r="B103" s="5" t="s">
        <v>67</v>
      </c>
      <c r="F103" s="110"/>
      <c r="G103" s="110"/>
      <c r="I103" s="125"/>
      <c r="L103" s="125"/>
    </row>
    <row r="104" spans="1:13" hidden="1" outlineLevel="1" x14ac:dyDescent="0.25">
      <c r="A104" s="106">
        <v>99</v>
      </c>
      <c r="C104" s="1" t="s">
        <v>61</v>
      </c>
      <c r="F104" s="108">
        <f t="shared" ref="F104:F109" si="42">VLOOKUP($A104,Cur_Actuals,Cur_Month+18)</f>
        <v>29711.599999999999</v>
      </c>
      <c r="G104" s="108">
        <f t="shared" ref="G104:G109" si="43">VLOOKUP($A104,Cur_Budget,Cur_Month+18)</f>
        <v>29711.699999999997</v>
      </c>
      <c r="H104" s="7">
        <f t="shared" ref="H104:H110" si="44">IF(G104=0,"NA",-(+F104-G104)/G104)</f>
        <v>3.3656774940021884E-6</v>
      </c>
      <c r="I104" s="123">
        <f t="shared" ref="I104:I109" si="45">VLOOKUP($A104,PY_Actual,Cur_Month+18)</f>
        <v>29128.400000000001</v>
      </c>
      <c r="J104" s="7">
        <f t="shared" ref="J104:J110" si="46">IF(I104=0,"NA",-(+F104-I104)/I104)</f>
        <v>-2.0021697037942252E-2</v>
      </c>
      <c r="L104" s="123">
        <f>+'Current Year Budget'!R104-'YTD Report'!F104</f>
        <v>5942.4000000000015</v>
      </c>
      <c r="M104" s="7">
        <f>IF('Current Year Budget'!R104=0,0,+L104/'Current Year Budget'!R104)</f>
        <v>0.16666853648959448</v>
      </c>
    </row>
    <row r="105" spans="1:13" hidden="1" outlineLevel="1" x14ac:dyDescent="0.25">
      <c r="A105" s="106">
        <v>100</v>
      </c>
      <c r="C105" s="1" t="s">
        <v>56</v>
      </c>
      <c r="F105" s="108">
        <f t="shared" si="42"/>
        <v>3951.7</v>
      </c>
      <c r="G105" s="108">
        <f t="shared" si="43"/>
        <v>3951.7000000000003</v>
      </c>
      <c r="H105" s="7">
        <f t="shared" si="44"/>
        <v>1.1507638507135262E-16</v>
      </c>
      <c r="I105" s="123">
        <f t="shared" si="45"/>
        <v>4138.78</v>
      </c>
      <c r="J105" s="7">
        <f t="shared" si="46"/>
        <v>4.5201726112525896E-2</v>
      </c>
      <c r="L105" s="123">
        <f>+'Current Year Budget'!R105-'YTD Report'!F105</f>
        <v>790.30000000000018</v>
      </c>
      <c r="M105" s="7">
        <f>IF('Current Year Budget'!R105=0,0,+L105/'Current Year Budget'!R105)</f>
        <v>0.16665963728384653</v>
      </c>
    </row>
    <row r="106" spans="1:13" hidden="1" outlineLevel="1" x14ac:dyDescent="0.25">
      <c r="A106" s="106">
        <v>101</v>
      </c>
      <c r="C106" s="1" t="s">
        <v>58</v>
      </c>
      <c r="F106" s="108">
        <f t="shared" si="42"/>
        <v>379.8</v>
      </c>
      <c r="G106" s="108">
        <f t="shared" si="43"/>
        <v>625</v>
      </c>
      <c r="H106" s="7">
        <f t="shared" si="44"/>
        <v>0.39232</v>
      </c>
      <c r="I106" s="123">
        <f t="shared" si="45"/>
        <v>85</v>
      </c>
      <c r="J106" s="7">
        <f t="shared" si="46"/>
        <v>-3.4682352941176471</v>
      </c>
      <c r="L106" s="123">
        <f>+'Current Year Budget'!R106-'YTD Report'!F106</f>
        <v>370.2</v>
      </c>
      <c r="M106" s="7">
        <f>IF('Current Year Budget'!R106=0,0,+L106/'Current Year Budget'!R106)</f>
        <v>0.49359999999999998</v>
      </c>
    </row>
    <row r="107" spans="1:13" hidden="1" outlineLevel="1" x14ac:dyDescent="0.25">
      <c r="A107" s="106">
        <v>102</v>
      </c>
      <c r="C107" s="1" t="s">
        <v>57</v>
      </c>
      <c r="F107" s="108">
        <f t="shared" si="42"/>
        <v>2000</v>
      </c>
      <c r="G107" s="108">
        <f t="shared" si="43"/>
        <v>1666.7</v>
      </c>
      <c r="H107" s="7">
        <f t="shared" si="44"/>
        <v>-0.19997600047999037</v>
      </c>
      <c r="I107" s="123">
        <f t="shared" si="45"/>
        <v>1484.68</v>
      </c>
      <c r="J107" s="7">
        <f t="shared" si="46"/>
        <v>-0.34709162917261627</v>
      </c>
      <c r="L107" s="123">
        <f>+'Current Year Budget'!R107-'YTD Report'!F107</f>
        <v>0</v>
      </c>
      <c r="M107" s="7">
        <f>IF('Current Year Budget'!R107=0,0,+L107/'Current Year Budget'!R107)</f>
        <v>0</v>
      </c>
    </row>
    <row r="108" spans="1:13" hidden="1" outlineLevel="1" x14ac:dyDescent="0.25">
      <c r="A108" s="106">
        <v>103</v>
      </c>
      <c r="C108" s="1" t="s">
        <v>62</v>
      </c>
      <c r="F108" s="108">
        <f t="shared" si="42"/>
        <v>1106.3</v>
      </c>
      <c r="G108" s="108">
        <f t="shared" si="43"/>
        <v>1250</v>
      </c>
      <c r="H108" s="7">
        <f t="shared" si="44"/>
        <v>0.11496000000000003</v>
      </c>
      <c r="I108" s="123">
        <f t="shared" si="45"/>
        <v>1509.6299999999999</v>
      </c>
      <c r="J108" s="7">
        <f t="shared" si="46"/>
        <v>0.26717142611103378</v>
      </c>
      <c r="L108" s="123">
        <f>+'Current Year Budget'!R108-'YTD Report'!F108</f>
        <v>393.70000000000005</v>
      </c>
      <c r="M108" s="7">
        <f>IF('Current Year Budget'!R108=0,0,+L108/'Current Year Budget'!R108)</f>
        <v>0.26246666666666668</v>
      </c>
    </row>
    <row r="109" spans="1:13" hidden="1" outlineLevel="1" x14ac:dyDescent="0.25">
      <c r="A109" s="106">
        <v>104</v>
      </c>
      <c r="C109" s="1" t="s">
        <v>68</v>
      </c>
      <c r="E109" s="7"/>
      <c r="F109" s="108">
        <f t="shared" si="42"/>
        <v>1081</v>
      </c>
      <c r="G109" s="108">
        <f t="shared" si="43"/>
        <v>1060</v>
      </c>
      <c r="H109" s="7">
        <f t="shared" si="44"/>
        <v>-1.981132075471698E-2</v>
      </c>
      <c r="I109" s="123">
        <f t="shared" si="45"/>
        <v>1022.4500000000003</v>
      </c>
      <c r="J109" s="7">
        <f t="shared" si="46"/>
        <v>-5.7264413907770269E-2</v>
      </c>
      <c r="K109" s="7"/>
      <c r="L109" s="123">
        <f>+'Current Year Budget'!R109-'YTD Report'!F109</f>
        <v>191</v>
      </c>
      <c r="M109" s="7">
        <f>IF('Current Year Budget'!R109=0,0,+L109/'Current Year Budget'!R109)</f>
        <v>0.15015723270440251</v>
      </c>
    </row>
    <row r="110" spans="1:13" s="5" customFormat="1" collapsed="1" x14ac:dyDescent="0.25">
      <c r="A110" s="106">
        <v>105</v>
      </c>
      <c r="B110" s="33" t="s">
        <v>69</v>
      </c>
      <c r="C110" s="33"/>
      <c r="D110" s="33"/>
      <c r="F110" s="119">
        <f>SUM(F104:F109)</f>
        <v>38230.400000000001</v>
      </c>
      <c r="G110" s="119">
        <f>SUM(G104:G109)</f>
        <v>38265.099999999991</v>
      </c>
      <c r="H110" s="34">
        <f t="shared" si="44"/>
        <v>9.0683155146569123E-4</v>
      </c>
      <c r="I110" s="130">
        <f>SUM(I104:I109)</f>
        <v>37368.939999999995</v>
      </c>
      <c r="J110" s="34">
        <f t="shared" si="46"/>
        <v>-2.3052834787393128E-2</v>
      </c>
      <c r="L110" s="130">
        <f>SUM(L104:L109)</f>
        <v>7687.6000000000013</v>
      </c>
      <c r="M110" s="34">
        <f>IF('Current Year Budget'!R110=0,0,+L110/'Current Year Budget'!R110)</f>
        <v>0.16742018380591492</v>
      </c>
    </row>
    <row r="111" spans="1:13" ht="6" hidden="1" customHeight="1" outlineLevel="1" x14ac:dyDescent="0.25">
      <c r="A111" s="106">
        <v>106</v>
      </c>
      <c r="F111" s="110"/>
      <c r="G111" s="110"/>
      <c r="I111" s="125"/>
      <c r="L111" s="125"/>
    </row>
    <row r="112" spans="1:13" hidden="1" outlineLevel="1" x14ac:dyDescent="0.25">
      <c r="A112" s="106">
        <v>107</v>
      </c>
      <c r="B112" s="5" t="s">
        <v>70</v>
      </c>
      <c r="F112" s="110"/>
      <c r="G112" s="110"/>
      <c r="I112" s="125"/>
      <c r="L112" s="125"/>
    </row>
    <row r="113" spans="1:15" hidden="1" outlineLevel="1" x14ac:dyDescent="0.25">
      <c r="A113" s="106">
        <v>108</v>
      </c>
      <c r="C113" s="1" t="s">
        <v>71</v>
      </c>
      <c r="F113" s="108">
        <f t="shared" ref="F113:F118" si="47">VLOOKUP($A113,Cur_Actuals,Cur_Month+18)</f>
        <v>7983.4</v>
      </c>
      <c r="G113" s="108">
        <f t="shared" ref="G113:G118" si="48">VLOOKUP($A113,Cur_Budget,Cur_Month+18)</f>
        <v>7983.3</v>
      </c>
      <c r="H113" s="7">
        <f t="shared" ref="H113:H119" si="49">IF(G113=0,"NA",-(+F113-G113)/G113)</f>
        <v>-1.2526148334580223E-5</v>
      </c>
      <c r="I113" s="123">
        <f t="shared" ref="I113:I118" si="50">VLOOKUP($A113,PY_Actual,Cur_Month+18)</f>
        <v>7983.4000000000005</v>
      </c>
      <c r="J113" s="7">
        <f t="shared" ref="J113:J119" si="51">IF(I113=0,"NA",-(+F113-I113)/I113)</f>
        <v>1.1392322842058874E-16</v>
      </c>
      <c r="L113" s="123">
        <f>+'Current Year Budget'!R113-'YTD Report'!F113</f>
        <v>1596.6000000000004</v>
      </c>
      <c r="M113" s="7">
        <f>IF('Current Year Budget'!R113=0,0,+L113/'Current Year Budget'!R113)</f>
        <v>0.16665970772442593</v>
      </c>
    </row>
    <row r="114" spans="1:15" hidden="1" outlineLevel="1" x14ac:dyDescent="0.25">
      <c r="A114" s="106">
        <v>109</v>
      </c>
      <c r="C114" s="1" t="s">
        <v>72</v>
      </c>
      <c r="F114" s="108">
        <f t="shared" si="47"/>
        <v>300</v>
      </c>
      <c r="G114" s="108">
        <f t="shared" si="48"/>
        <v>416.7000000000001</v>
      </c>
      <c r="H114" s="7">
        <f t="shared" si="49"/>
        <v>0.2800575953923688</v>
      </c>
      <c r="I114" s="123">
        <f t="shared" si="50"/>
        <v>300</v>
      </c>
      <c r="J114" s="7">
        <f t="shared" si="51"/>
        <v>0</v>
      </c>
      <c r="L114" s="123">
        <f>+'Current Year Budget'!R114-'YTD Report'!F114</f>
        <v>200</v>
      </c>
      <c r="M114" s="7">
        <f>IF('Current Year Budget'!R114=0,0,+L114/'Current Year Budget'!R114)</f>
        <v>0.4</v>
      </c>
    </row>
    <row r="115" spans="1:15" hidden="1" outlineLevel="1" x14ac:dyDescent="0.25">
      <c r="A115" s="106">
        <v>110</v>
      </c>
      <c r="C115" s="1" t="s">
        <v>73</v>
      </c>
      <c r="F115" s="108">
        <f t="shared" si="47"/>
        <v>15557.8</v>
      </c>
      <c r="G115" s="108">
        <f t="shared" si="48"/>
        <v>15126.7</v>
      </c>
      <c r="H115" s="7">
        <f t="shared" si="49"/>
        <v>-2.8499276114420099E-2</v>
      </c>
      <c r="I115" s="123">
        <f t="shared" si="50"/>
        <v>15254.799999999997</v>
      </c>
      <c r="J115" s="7">
        <f t="shared" si="51"/>
        <v>-1.9862600624065991E-2</v>
      </c>
      <c r="L115" s="123">
        <f>+'Current Year Budget'!R115-'YTD Report'!F115</f>
        <v>2594.2000000000007</v>
      </c>
      <c r="M115" s="7">
        <f>IF('Current Year Budget'!R115=0,0,+L115/'Current Year Budget'!R115)</f>
        <v>0.14291538122520939</v>
      </c>
    </row>
    <row r="116" spans="1:15" hidden="1" outlineLevel="1" x14ac:dyDescent="0.25">
      <c r="A116" s="106">
        <v>111</v>
      </c>
      <c r="C116" s="1" t="s">
        <v>74</v>
      </c>
      <c r="F116" s="108">
        <f t="shared" si="47"/>
        <v>5370.4000000000005</v>
      </c>
      <c r="G116" s="108">
        <f t="shared" si="48"/>
        <v>5370.4000000000005</v>
      </c>
      <c r="H116" s="7">
        <f t="shared" si="49"/>
        <v>0</v>
      </c>
      <c r="I116" s="123">
        <f t="shared" si="50"/>
        <v>5264.8</v>
      </c>
      <c r="J116" s="7">
        <f t="shared" si="51"/>
        <v>-2.0057741984500905E-2</v>
      </c>
      <c r="L116" s="123">
        <f>+'Current Year Budget'!R116-'YTD Report'!F116</f>
        <v>1342.5999999999995</v>
      </c>
      <c r="M116" s="7">
        <f>IF('Current Year Budget'!R116=0,0,+L116/'Current Year Budget'!R116)</f>
        <v>0.19999999999999993</v>
      </c>
    </row>
    <row r="117" spans="1:15" hidden="1" outlineLevel="1" x14ac:dyDescent="0.25">
      <c r="A117" s="106">
        <v>112</v>
      </c>
      <c r="C117" s="1" t="s">
        <v>75</v>
      </c>
      <c r="F117" s="108">
        <f t="shared" si="47"/>
        <v>1414.5</v>
      </c>
      <c r="G117" s="108">
        <f t="shared" si="48"/>
        <v>1415</v>
      </c>
      <c r="H117" s="7">
        <f t="shared" si="49"/>
        <v>3.5335689045936394E-4</v>
      </c>
      <c r="I117" s="123">
        <f t="shared" si="50"/>
        <v>1414.5000000000002</v>
      </c>
      <c r="J117" s="7">
        <f t="shared" si="51"/>
        <v>1.6074491017549101E-16</v>
      </c>
      <c r="L117" s="123">
        <f>+'Current Year Budget'!R117-'YTD Report'!F117</f>
        <v>283.5</v>
      </c>
      <c r="M117" s="7">
        <f>IF('Current Year Budget'!R117=0,0,+L117/'Current Year Budget'!R117)</f>
        <v>0.16696113074204946</v>
      </c>
    </row>
    <row r="118" spans="1:15" hidden="1" outlineLevel="1" x14ac:dyDescent="0.25">
      <c r="A118" s="106">
        <v>113</v>
      </c>
      <c r="C118" s="1" t="s">
        <v>76</v>
      </c>
      <c r="F118" s="108">
        <f t="shared" si="47"/>
        <v>2050</v>
      </c>
      <c r="G118" s="108">
        <f t="shared" si="48"/>
        <v>2000</v>
      </c>
      <c r="H118" s="7">
        <f t="shared" si="49"/>
        <v>-2.5000000000000001E-2</v>
      </c>
      <c r="I118" s="123">
        <f t="shared" si="50"/>
        <v>2000</v>
      </c>
      <c r="J118" s="7">
        <f t="shared" si="51"/>
        <v>-2.5000000000000001E-2</v>
      </c>
      <c r="L118" s="123">
        <f>+'Current Year Budget'!R118-'YTD Report'!F118</f>
        <v>350</v>
      </c>
      <c r="M118" s="7">
        <f>IF('Current Year Budget'!R118=0,0,+L118/'Current Year Budget'!R118)</f>
        <v>0.14583333333333334</v>
      </c>
    </row>
    <row r="119" spans="1:15" s="5" customFormat="1" collapsed="1" x14ac:dyDescent="0.25">
      <c r="A119" s="106">
        <v>114</v>
      </c>
      <c r="B119" s="33" t="s">
        <v>77</v>
      </c>
      <c r="C119" s="33"/>
      <c r="D119" s="33"/>
      <c r="F119" s="119">
        <f>SUM(F113:F118)</f>
        <v>32676.1</v>
      </c>
      <c r="G119" s="119">
        <f>SUM(G113:G118)</f>
        <v>32312.100000000002</v>
      </c>
      <c r="H119" s="34">
        <f t="shared" si="49"/>
        <v>-1.1265129781103559E-2</v>
      </c>
      <c r="I119" s="130">
        <f>SUM(I113:I118)</f>
        <v>32217.499999999996</v>
      </c>
      <c r="J119" s="34">
        <f t="shared" si="51"/>
        <v>-1.4234499883603702E-2</v>
      </c>
      <c r="L119" s="130">
        <f>SUM(L113:L118)</f>
        <v>6366.9000000000005</v>
      </c>
      <c r="M119" s="34">
        <f>IF('Current Year Budget'!R119=0,0,+L119/'Current Year Budget'!R119)</f>
        <v>0.16307404656404478</v>
      </c>
    </row>
    <row r="120" spans="1:15" ht="6.75" hidden="1" customHeight="1" outlineLevel="1" x14ac:dyDescent="0.25">
      <c r="A120" s="106">
        <v>115</v>
      </c>
      <c r="F120" s="110"/>
      <c r="G120" s="110"/>
      <c r="I120" s="125"/>
      <c r="L120" s="125"/>
    </row>
    <row r="121" spans="1:15" hidden="1" outlineLevel="1" x14ac:dyDescent="0.25">
      <c r="A121" s="106">
        <v>116</v>
      </c>
      <c r="B121" s="5" t="s">
        <v>78</v>
      </c>
      <c r="F121" s="110"/>
      <c r="G121" s="110"/>
      <c r="I121" s="125"/>
      <c r="L121" s="125"/>
    </row>
    <row r="122" spans="1:15" ht="15" hidden="1" customHeight="1" outlineLevel="1" x14ac:dyDescent="0.25">
      <c r="A122" s="106">
        <v>117</v>
      </c>
      <c r="C122" s="1" t="s">
        <v>147</v>
      </c>
      <c r="F122" s="108">
        <f t="shared" ref="F122:F131" si="52">VLOOKUP($A122,Cur_Actuals,Cur_Month+18)</f>
        <v>9875.48</v>
      </c>
      <c r="G122" s="108">
        <f t="shared" ref="G122:G131" si="53">VLOOKUP($A122,Cur_Budget,Cur_Month+18)</f>
        <v>10312.5</v>
      </c>
      <c r="H122" s="7">
        <f t="shared" ref="H122:H133" si="54">IF(G122=0,"NA",-(+F122-G122)/G122)</f>
        <v>4.237769696969701E-2</v>
      </c>
      <c r="I122" s="123">
        <f t="shared" ref="I122:I131" si="55">VLOOKUP($A122,PY_Actual,Cur_Month+18)</f>
        <v>10699.41</v>
      </c>
      <c r="J122" s="7">
        <f t="shared" ref="J122:J133" si="56">IF(I122=0,"NA",-(+F122-I122)/I122)</f>
        <v>7.700704992144429E-2</v>
      </c>
      <c r="L122" s="123">
        <f>+'Current Year Budget'!R122-'YTD Report'!F122</f>
        <v>2499.5200000000004</v>
      </c>
      <c r="M122" s="7">
        <f>IF('Current Year Budget'!R122=0,0,+L122/'Current Year Budget'!R122)</f>
        <v>0.20198141414141418</v>
      </c>
      <c r="N122" s="234" t="s">
        <v>226</v>
      </c>
      <c r="O122" s="35"/>
    </row>
    <row r="123" spans="1:15" hidden="1" outlineLevel="1" x14ac:dyDescent="0.25">
      <c r="A123" s="106">
        <v>118</v>
      </c>
      <c r="C123" s="1" t="s">
        <v>80</v>
      </c>
      <c r="F123" s="108">
        <f t="shared" si="52"/>
        <v>24477.800000000003</v>
      </c>
      <c r="G123" s="108">
        <f t="shared" si="53"/>
        <v>26431.699999999997</v>
      </c>
      <c r="H123" s="7">
        <f t="shared" si="54"/>
        <v>7.3922600513776804E-2</v>
      </c>
      <c r="I123" s="123">
        <f t="shared" si="55"/>
        <v>29001.819999999996</v>
      </c>
      <c r="J123" s="7">
        <f t="shared" si="56"/>
        <v>0.15599089988145551</v>
      </c>
      <c r="L123" s="123">
        <f>+'Current Year Budget'!R123-'YTD Report'!F123</f>
        <v>7240.1999999999971</v>
      </c>
      <c r="M123" s="7">
        <f>IF('Current Year Budget'!R123=0,0,+L123/'Current Year Budget'!R123)</f>
        <v>0.2282678605208398</v>
      </c>
      <c r="N123" s="234"/>
      <c r="O123" s="35"/>
    </row>
    <row r="124" spans="1:15" hidden="1" outlineLevel="1" x14ac:dyDescent="0.25">
      <c r="A124" s="106">
        <v>119</v>
      </c>
      <c r="C124" s="1" t="s">
        <v>81</v>
      </c>
      <c r="F124" s="108">
        <f t="shared" si="52"/>
        <v>162.80000000000001</v>
      </c>
      <c r="G124" s="108">
        <f t="shared" si="53"/>
        <v>416.7000000000001</v>
      </c>
      <c r="H124" s="7">
        <f t="shared" si="54"/>
        <v>0.60931125509959205</v>
      </c>
      <c r="I124" s="123">
        <f t="shared" si="55"/>
        <v>386.62</v>
      </c>
      <c r="J124" s="7">
        <f t="shared" si="56"/>
        <v>0.57891469660131389</v>
      </c>
      <c r="L124" s="123">
        <f>+'Current Year Budget'!R124-'YTD Report'!F124</f>
        <v>337.2</v>
      </c>
      <c r="M124" s="7">
        <f>IF('Current Year Budget'!R124=0,0,+L124/'Current Year Budget'!R124)</f>
        <v>0.6744</v>
      </c>
      <c r="N124" s="234"/>
      <c r="O124" s="35"/>
    </row>
    <row r="125" spans="1:15" hidden="1" outlineLevel="1" x14ac:dyDescent="0.25">
      <c r="A125" s="106">
        <v>120</v>
      </c>
      <c r="C125" s="1" t="s">
        <v>82</v>
      </c>
      <c r="F125" s="108">
        <f t="shared" si="52"/>
        <v>45</v>
      </c>
      <c r="G125" s="108">
        <f t="shared" si="53"/>
        <v>833.30000000000007</v>
      </c>
      <c r="H125" s="7">
        <f t="shared" si="54"/>
        <v>0.94599783991359654</v>
      </c>
      <c r="I125" s="123">
        <f t="shared" si="55"/>
        <v>-600</v>
      </c>
      <c r="J125" s="7">
        <f t="shared" si="56"/>
        <v>1.075</v>
      </c>
      <c r="L125" s="123">
        <f>+'Current Year Budget'!R125-'YTD Report'!F125</f>
        <v>955</v>
      </c>
      <c r="M125" s="7">
        <f>IF('Current Year Budget'!R125=0,0,+L125/'Current Year Budget'!R125)</f>
        <v>0.95499999999999996</v>
      </c>
      <c r="N125" s="234"/>
      <c r="O125" s="35"/>
    </row>
    <row r="126" spans="1:15" ht="30" hidden="1" customHeight="1" outlineLevel="1" x14ac:dyDescent="0.25">
      <c r="A126" s="106">
        <v>121</v>
      </c>
      <c r="C126" s="1" t="s">
        <v>83</v>
      </c>
      <c r="F126" s="108">
        <f t="shared" si="52"/>
        <v>-21.13</v>
      </c>
      <c r="G126" s="108">
        <f t="shared" si="53"/>
        <v>0</v>
      </c>
      <c r="H126" s="7" t="str">
        <f t="shared" si="54"/>
        <v>NA</v>
      </c>
      <c r="I126" s="123">
        <f t="shared" si="55"/>
        <v>551.53</v>
      </c>
      <c r="J126" s="7">
        <f t="shared" si="56"/>
        <v>1.0383116058963247</v>
      </c>
      <c r="L126" s="123">
        <f>+'Current Year Budget'!R126-'YTD Report'!F126</f>
        <v>21.13</v>
      </c>
      <c r="M126" s="7">
        <f>IF('Current Year Budget'!R126=0,0,+L126/'Current Year Budget'!R126)</f>
        <v>0</v>
      </c>
      <c r="N126" s="234" t="s">
        <v>224</v>
      </c>
      <c r="O126" s="35"/>
    </row>
    <row r="127" spans="1:15" hidden="1" outlineLevel="1" x14ac:dyDescent="0.25">
      <c r="A127" s="106">
        <v>122</v>
      </c>
      <c r="C127" s="1" t="s">
        <v>125</v>
      </c>
      <c r="F127" s="108">
        <f t="shared" si="52"/>
        <v>14279.17</v>
      </c>
      <c r="G127" s="108">
        <f t="shared" si="53"/>
        <v>14625</v>
      </c>
      <c r="H127" s="7">
        <f t="shared" si="54"/>
        <v>2.3646495726495721E-2</v>
      </c>
      <c r="I127" s="123">
        <f t="shared" si="55"/>
        <v>15094.35</v>
      </c>
      <c r="J127" s="7">
        <f t="shared" si="56"/>
        <v>5.4005637871123981E-2</v>
      </c>
      <c r="L127" s="123">
        <f>+'Current Year Budget'!R127-'YTD Report'!F127</f>
        <v>3270.83</v>
      </c>
      <c r="M127" s="7">
        <f>IF('Current Year Budget'!R127=0,0,+L127/'Current Year Budget'!R127)</f>
        <v>0.18637207977207976</v>
      </c>
      <c r="N127" s="234"/>
      <c r="O127" s="35"/>
    </row>
    <row r="128" spans="1:15" hidden="1" outlineLevel="1" x14ac:dyDescent="0.25">
      <c r="A128" s="106">
        <v>123</v>
      </c>
      <c r="C128" s="1" t="s">
        <v>84</v>
      </c>
      <c r="F128" s="108">
        <f t="shared" si="52"/>
        <v>6929.72</v>
      </c>
      <c r="G128" s="108">
        <f t="shared" si="53"/>
        <v>8218.3000000000011</v>
      </c>
      <c r="H128" s="7">
        <f t="shared" si="54"/>
        <v>0.15679398415730755</v>
      </c>
      <c r="I128" s="123">
        <f t="shared" si="55"/>
        <v>7174.17</v>
      </c>
      <c r="J128" s="7">
        <f t="shared" si="56"/>
        <v>3.4073628029444497E-2</v>
      </c>
      <c r="L128" s="123">
        <f>+'Current Year Budget'!R128-'YTD Report'!F128</f>
        <v>2932.2799999999997</v>
      </c>
      <c r="M128" s="7">
        <f>IF('Current Year Budget'!R128=0,0,+L128/'Current Year Budget'!R128)</f>
        <v>0.29733117014804294</v>
      </c>
      <c r="N128" s="195" t="s">
        <v>220</v>
      </c>
      <c r="O128" s="35"/>
    </row>
    <row r="129" spans="1:14" hidden="1" outlineLevel="1" x14ac:dyDescent="0.25">
      <c r="A129" s="106">
        <v>124</v>
      </c>
      <c r="C129" s="1" t="s">
        <v>85</v>
      </c>
      <c r="F129" s="108">
        <f t="shared" si="52"/>
        <v>3437</v>
      </c>
      <c r="G129" s="108">
        <f t="shared" si="53"/>
        <v>3423</v>
      </c>
      <c r="H129" s="7">
        <f t="shared" si="54"/>
        <v>-4.0899795501022499E-3</v>
      </c>
      <c r="I129" s="123">
        <f t="shared" si="55"/>
        <v>3243.5</v>
      </c>
      <c r="J129" s="7">
        <f t="shared" si="56"/>
        <v>-5.965777709264683E-2</v>
      </c>
      <c r="L129" s="123">
        <f>+'Current Year Budget'!R129-'YTD Report'!F129</f>
        <v>-14</v>
      </c>
      <c r="M129" s="7">
        <f>IF('Current Year Budget'!R129=0,0,+L129/'Current Year Budget'!R129)</f>
        <v>-4.0899795501022499E-3</v>
      </c>
      <c r="N129" s="194"/>
    </row>
    <row r="130" spans="1:14" hidden="1" outlineLevel="1" x14ac:dyDescent="0.25">
      <c r="A130" s="106">
        <v>125</v>
      </c>
      <c r="C130" s="1" t="s">
        <v>86</v>
      </c>
      <c r="F130" s="108">
        <f t="shared" si="52"/>
        <v>450</v>
      </c>
      <c r="G130" s="108">
        <f t="shared" si="53"/>
        <v>500</v>
      </c>
      <c r="H130" s="7">
        <f t="shared" si="54"/>
        <v>0.1</v>
      </c>
      <c r="I130" s="123">
        <f t="shared" si="55"/>
        <v>500</v>
      </c>
      <c r="J130" s="7">
        <f t="shared" si="56"/>
        <v>0.1</v>
      </c>
      <c r="L130" s="123">
        <f>+'Current Year Budget'!R130-'YTD Report'!F130</f>
        <v>150</v>
      </c>
      <c r="M130" s="7">
        <f>IF('Current Year Budget'!R130=0,0,+L130/'Current Year Budget'!R130)</f>
        <v>0.25</v>
      </c>
      <c r="N130" s="194"/>
    </row>
    <row r="131" spans="1:14" hidden="1" outlineLevel="1" x14ac:dyDescent="0.25">
      <c r="A131" s="106">
        <v>126</v>
      </c>
      <c r="C131" s="1" t="s">
        <v>87</v>
      </c>
      <c r="F131" s="108">
        <f t="shared" si="52"/>
        <v>0</v>
      </c>
      <c r="G131" s="108">
        <f t="shared" si="53"/>
        <v>0</v>
      </c>
      <c r="H131" s="7" t="str">
        <f t="shared" si="54"/>
        <v>NA</v>
      </c>
      <c r="I131" s="123">
        <f t="shared" si="55"/>
        <v>-5000</v>
      </c>
      <c r="J131" s="7">
        <f t="shared" si="56"/>
        <v>1</v>
      </c>
      <c r="L131" s="123">
        <f>+'Current Year Budget'!R131-'YTD Report'!F131</f>
        <v>0</v>
      </c>
      <c r="M131" s="7">
        <f>IF('Current Year Budget'!R131=0,0,+L131/'Current Year Budget'!R131)</f>
        <v>0</v>
      </c>
      <c r="N131" s="194"/>
    </row>
    <row r="132" spans="1:14" s="5" customFormat="1" collapsed="1" x14ac:dyDescent="0.25">
      <c r="A132" s="106">
        <v>127</v>
      </c>
      <c r="B132" s="33" t="s">
        <v>79</v>
      </c>
      <c r="C132" s="33"/>
      <c r="D132" s="33"/>
      <c r="F132" s="119">
        <f>SUM(F122:F131)</f>
        <v>59635.840000000004</v>
      </c>
      <c r="G132" s="119">
        <f>SUM(G122:G131)</f>
        <v>64760.5</v>
      </c>
      <c r="H132" s="34">
        <f t="shared" si="54"/>
        <v>7.9132495888697529E-2</v>
      </c>
      <c r="I132" s="130">
        <f>SUM(I122:I131)</f>
        <v>61051.399999999994</v>
      </c>
      <c r="J132" s="34">
        <f t="shared" si="56"/>
        <v>2.318636427665853E-2</v>
      </c>
      <c r="L132" s="130">
        <f>SUM(L122:L131)</f>
        <v>17392.159999999996</v>
      </c>
      <c r="M132" s="34">
        <f>IF('Current Year Budget'!R132=0,0,+L132/'Current Year Budget'!R132)</f>
        <v>0.22579010230046212</v>
      </c>
      <c r="N132" s="194"/>
    </row>
    <row r="133" spans="1:14" x14ac:dyDescent="0.25">
      <c r="A133" s="106">
        <v>128</v>
      </c>
      <c r="B133" s="33" t="s">
        <v>88</v>
      </c>
      <c r="C133" s="33"/>
      <c r="D133" s="44" t="str">
        <f>0*100%&amp;"% Cost of Living"</f>
        <v>0% Cost of Living</v>
      </c>
      <c r="F133" s="119">
        <f t="shared" ref="F133:G133" si="57">+F91+F96+F101+F110+F119+F132</f>
        <v>268321.28000000003</v>
      </c>
      <c r="G133" s="119">
        <f t="shared" si="57"/>
        <v>273545.19999999995</v>
      </c>
      <c r="H133" s="34">
        <f t="shared" si="54"/>
        <v>1.9097099857719773E-2</v>
      </c>
      <c r="I133" s="130">
        <f t="shared" ref="I133" si="58">+I91+I96+I101+I110+I119+I132</f>
        <v>267850.59999999998</v>
      </c>
      <c r="J133" s="34">
        <f t="shared" si="56"/>
        <v>-1.7572482570509503E-3</v>
      </c>
      <c r="L133" s="130">
        <f t="shared" ref="L133" si="59">+L91+L96+L101+L110+L119+L132</f>
        <v>59516.719999999994</v>
      </c>
      <c r="M133" s="34">
        <f>IF('Current Year Budget'!R133=0,0,+L133/'Current Year Budget'!R133)</f>
        <v>0.18154307920375307</v>
      </c>
    </row>
    <row r="134" spans="1:14" ht="8.25" customHeight="1" x14ac:dyDescent="0.25">
      <c r="A134" s="106">
        <v>129</v>
      </c>
      <c r="F134" s="110"/>
      <c r="G134" s="110"/>
      <c r="I134" s="125"/>
      <c r="L134" s="125"/>
    </row>
    <row r="135" spans="1:14" ht="18.75" x14ac:dyDescent="0.25">
      <c r="A135" s="106">
        <v>130</v>
      </c>
      <c r="B135" s="11" t="s">
        <v>89</v>
      </c>
      <c r="F135" s="110"/>
      <c r="G135" s="110"/>
      <c r="I135" s="125"/>
      <c r="L135" s="125"/>
    </row>
    <row r="136" spans="1:14" hidden="1" outlineLevel="2" x14ac:dyDescent="0.25">
      <c r="A136" s="106">
        <v>131</v>
      </c>
      <c r="B136" s="5" t="s">
        <v>90</v>
      </c>
      <c r="F136" s="110"/>
      <c r="G136" s="110"/>
      <c r="I136" s="125"/>
      <c r="L136" s="125"/>
    </row>
    <row r="137" spans="1:14" ht="15" hidden="1" customHeight="1" outlineLevel="2" x14ac:dyDescent="0.25">
      <c r="A137" s="106">
        <v>132</v>
      </c>
      <c r="C137" s="1" t="s">
        <v>92</v>
      </c>
      <c r="F137" s="108">
        <f t="shared" ref="F137:F143" si="60">VLOOKUP($A137,Cur_Actuals,Cur_Month+18)</f>
        <v>13452.82</v>
      </c>
      <c r="G137" s="108">
        <f t="shared" ref="G137:G143" si="61">VLOOKUP($A137,Cur_Budget,Cur_Month+18)</f>
        <v>15000</v>
      </c>
      <c r="H137" s="7">
        <f t="shared" ref="H137:H144" si="62">IF(G137=0,"NA",-(+F137-G137)/G137)</f>
        <v>0.10314533333333335</v>
      </c>
      <c r="I137" s="123">
        <f t="shared" ref="I137:I143" si="63">VLOOKUP($A137,PY_Actual,Cur_Month+18)</f>
        <v>15220.969999999998</v>
      </c>
      <c r="J137" s="7">
        <f t="shared" ref="J137:J144" si="64">IF(I137=0,"NA",-(+F137-I137)/I137)</f>
        <v>0.11616539550370299</v>
      </c>
      <c r="L137" s="123">
        <f>+'Current Year Budget'!R137-'YTD Report'!F137</f>
        <v>4547.18</v>
      </c>
      <c r="M137" s="7">
        <f>IF('Current Year Budget'!R137=0,0,+L137/'Current Year Budget'!R137)</f>
        <v>0.25262111111111113</v>
      </c>
      <c r="N137" s="197"/>
    </row>
    <row r="138" spans="1:14" hidden="1" outlineLevel="2" x14ac:dyDescent="0.25">
      <c r="A138" s="106">
        <v>133</v>
      </c>
      <c r="C138" s="1" t="s">
        <v>93</v>
      </c>
      <c r="F138" s="108">
        <f t="shared" si="60"/>
        <v>7779.28</v>
      </c>
      <c r="G138" s="108">
        <f t="shared" si="61"/>
        <v>8380</v>
      </c>
      <c r="H138" s="7">
        <f t="shared" si="62"/>
        <v>7.1684964200477361E-2</v>
      </c>
      <c r="I138" s="123">
        <f t="shared" si="63"/>
        <v>6948.55</v>
      </c>
      <c r="J138" s="7">
        <f t="shared" si="64"/>
        <v>-0.11955443941541755</v>
      </c>
      <c r="L138" s="123">
        <f>+'Current Year Budget'!R138-'YTD Report'!F138</f>
        <v>2276.7200000000003</v>
      </c>
      <c r="M138" s="7">
        <f>IF('Current Year Budget'!R138=0,0,+L138/'Current Year Budget'!R138)</f>
        <v>0.22640413683373112</v>
      </c>
      <c r="N138" s="197"/>
    </row>
    <row r="139" spans="1:14" ht="30" hidden="1" outlineLevel="2" x14ac:dyDescent="0.25">
      <c r="A139" s="106">
        <v>134</v>
      </c>
      <c r="C139" s="1" t="s">
        <v>94</v>
      </c>
      <c r="F139" s="108">
        <f t="shared" si="60"/>
        <v>3392.54</v>
      </c>
      <c r="G139" s="108">
        <f t="shared" si="61"/>
        <v>3400</v>
      </c>
      <c r="H139" s="7">
        <f t="shared" si="62"/>
        <v>2.1941176470588342E-3</v>
      </c>
      <c r="I139" s="123">
        <f t="shared" si="63"/>
        <v>3488.55</v>
      </c>
      <c r="J139" s="7">
        <f t="shared" si="64"/>
        <v>2.7521463072050053E-2</v>
      </c>
      <c r="L139" s="123">
        <f>+'Current Year Budget'!R139-'YTD Report'!F139</f>
        <v>687.46</v>
      </c>
      <c r="M139" s="7">
        <f>IF('Current Year Budget'!R139=0,0,+L139/'Current Year Budget'!R139)</f>
        <v>0.1684950980392157</v>
      </c>
      <c r="N139" s="197" t="s">
        <v>223</v>
      </c>
    </row>
    <row r="140" spans="1:14" ht="15" hidden="1" customHeight="1" outlineLevel="2" x14ac:dyDescent="0.25">
      <c r="A140" s="106">
        <v>135</v>
      </c>
      <c r="C140" s="1" t="s">
        <v>95</v>
      </c>
      <c r="F140" s="108">
        <f t="shared" si="60"/>
        <v>815.83999999999992</v>
      </c>
      <c r="G140" s="108">
        <f t="shared" si="61"/>
        <v>800</v>
      </c>
      <c r="H140" s="7">
        <f t="shared" si="62"/>
        <v>-1.9799999999999898E-2</v>
      </c>
      <c r="I140" s="123">
        <f t="shared" si="63"/>
        <v>770.44</v>
      </c>
      <c r="J140" s="7">
        <f t="shared" si="64"/>
        <v>-5.8927366180364288E-2</v>
      </c>
      <c r="L140" s="123">
        <f>+'Current Year Budget'!R140-'YTD Report'!F140</f>
        <v>-15.839999999999918</v>
      </c>
      <c r="M140" s="7">
        <f>IF('Current Year Budget'!R140=0,0,+L140/'Current Year Budget'!R140)</f>
        <v>-1.9799999999999898E-2</v>
      </c>
      <c r="N140" s="194"/>
    </row>
    <row r="141" spans="1:14" hidden="1" outlineLevel="2" x14ac:dyDescent="0.25">
      <c r="A141" s="106">
        <v>136</v>
      </c>
      <c r="C141" s="1" t="s">
        <v>96</v>
      </c>
      <c r="F141" s="108">
        <f t="shared" si="60"/>
        <v>2691.3</v>
      </c>
      <c r="G141" s="108">
        <f t="shared" si="61"/>
        <v>2750</v>
      </c>
      <c r="H141" s="7">
        <f t="shared" si="62"/>
        <v>2.134545454545448E-2</v>
      </c>
      <c r="I141" s="123">
        <f t="shared" si="63"/>
        <v>2695.88</v>
      </c>
      <c r="J141" s="7">
        <f t="shared" si="64"/>
        <v>1.6988886745700578E-3</v>
      </c>
      <c r="L141" s="123">
        <f>+'Current Year Budget'!R141-'YTD Report'!F141</f>
        <v>608.69999999999982</v>
      </c>
      <c r="M141" s="7">
        <f>IF('Current Year Budget'!R141=0,0,+L141/'Current Year Budget'!R141)</f>
        <v>0.1844545454545454</v>
      </c>
      <c r="N141" s="194"/>
    </row>
    <row r="142" spans="1:14" ht="30" hidden="1" outlineLevel="2" x14ac:dyDescent="0.25">
      <c r="A142" s="106">
        <v>137</v>
      </c>
      <c r="C142" s="1" t="s">
        <v>97</v>
      </c>
      <c r="F142" s="108">
        <f t="shared" si="60"/>
        <v>2488.1000000000004</v>
      </c>
      <c r="G142" s="108">
        <f t="shared" si="61"/>
        <v>2250</v>
      </c>
      <c r="H142" s="7">
        <f t="shared" si="62"/>
        <v>-0.10582222222222239</v>
      </c>
      <c r="I142" s="123">
        <f t="shared" si="63"/>
        <v>2991.75</v>
      </c>
      <c r="J142" s="7">
        <f t="shared" si="64"/>
        <v>0.16834628561878487</v>
      </c>
      <c r="L142" s="123">
        <f>+'Current Year Budget'!R142-'YTD Report'!F142</f>
        <v>211.89999999999964</v>
      </c>
      <c r="M142" s="7">
        <f>IF('Current Year Budget'!R142=0,0,+L142/'Current Year Budget'!R142)</f>
        <v>7.8481481481481347E-2</v>
      </c>
      <c r="N142" s="194" t="s">
        <v>222</v>
      </c>
    </row>
    <row r="143" spans="1:14" hidden="1" outlineLevel="2" x14ac:dyDescent="0.25">
      <c r="A143" s="106">
        <v>138</v>
      </c>
      <c r="C143" s="1" t="s">
        <v>98</v>
      </c>
      <c r="F143" s="108">
        <f t="shared" si="60"/>
        <v>3360.83</v>
      </c>
      <c r="G143" s="108">
        <f t="shared" si="61"/>
        <v>3300</v>
      </c>
      <c r="H143" s="7">
        <f t="shared" si="62"/>
        <v>-1.8433333333333312E-2</v>
      </c>
      <c r="I143" s="123">
        <f t="shared" si="63"/>
        <v>3258.63</v>
      </c>
      <c r="J143" s="7">
        <f t="shared" si="64"/>
        <v>-3.1362873354753323E-2</v>
      </c>
      <c r="L143" s="123">
        <f>+'Current Year Budget'!R143-'YTD Report'!F143</f>
        <v>-60.829999999999927</v>
      </c>
      <c r="M143" s="7">
        <f>IF('Current Year Budget'!R143=0,0,+L143/'Current Year Budget'!R143)</f>
        <v>-1.8433333333333312E-2</v>
      </c>
      <c r="N143" s="194" t="s">
        <v>221</v>
      </c>
    </row>
    <row r="144" spans="1:14" s="5" customFormat="1" collapsed="1" x14ac:dyDescent="0.25">
      <c r="A144" s="106">
        <v>139</v>
      </c>
      <c r="B144" s="36" t="s">
        <v>99</v>
      </c>
      <c r="C144" s="36"/>
      <c r="D144" s="36"/>
      <c r="F144" s="120">
        <f>SUM(F137:F143)</f>
        <v>33980.71</v>
      </c>
      <c r="G144" s="120">
        <f>SUM(G137:G143)</f>
        <v>35880</v>
      </c>
      <c r="H144" s="37">
        <f t="shared" si="62"/>
        <v>5.2934503901895233E-2</v>
      </c>
      <c r="I144" s="131">
        <f>SUM(I137:I143)</f>
        <v>35374.769999999997</v>
      </c>
      <c r="J144" s="37">
        <f t="shared" si="64"/>
        <v>3.9408312760761351E-2</v>
      </c>
      <c r="L144" s="131">
        <f>SUM(L137:L143)</f>
        <v>8255.2899999999991</v>
      </c>
      <c r="M144" s="37">
        <f>IF('Current Year Budget'!R144=0,0,+L144/'Current Year Budget'!R144)</f>
        <v>0.1954562458566152</v>
      </c>
      <c r="N144" s="194"/>
    </row>
    <row r="145" spans="1:14" s="5" customFormat="1" ht="6.75" hidden="1" customHeight="1" outlineLevel="1" x14ac:dyDescent="0.25">
      <c r="A145" s="106">
        <v>140</v>
      </c>
      <c r="B145" s="22"/>
      <c r="C145" s="22"/>
      <c r="D145" s="22"/>
      <c r="F145" s="114"/>
      <c r="G145" s="114"/>
      <c r="H145" s="25"/>
      <c r="I145" s="132"/>
      <c r="J145" s="25"/>
      <c r="L145" s="132"/>
      <c r="M145" s="25"/>
    </row>
    <row r="146" spans="1:14" hidden="1" outlineLevel="1" x14ac:dyDescent="0.25">
      <c r="A146" s="106">
        <v>141</v>
      </c>
      <c r="B146" s="5" t="s">
        <v>100</v>
      </c>
      <c r="F146" s="110"/>
      <c r="G146" s="110"/>
      <c r="I146" s="125"/>
      <c r="L146" s="125"/>
    </row>
    <row r="147" spans="1:14" hidden="1" outlineLevel="1" x14ac:dyDescent="0.25">
      <c r="A147" s="106">
        <v>142</v>
      </c>
      <c r="C147" s="1" t="s">
        <v>101</v>
      </c>
      <c r="F147" s="108">
        <f t="shared" ref="F147:F154" si="65">VLOOKUP($A147,Cur_Actuals,Cur_Month+18)</f>
        <v>12966.47</v>
      </c>
      <c r="G147" s="108">
        <f t="shared" ref="G147:G154" si="66">VLOOKUP($A147,Cur_Budget,Cur_Month+18)</f>
        <v>12100</v>
      </c>
      <c r="H147" s="7">
        <f t="shared" ref="H147:H156" si="67">IF(G147=0,"NA",-(+F147-G147)/G147)</f>
        <v>-7.1609090909090858E-2</v>
      </c>
      <c r="I147" s="123">
        <f t="shared" ref="I147:I154" si="68">VLOOKUP($A147,PY_Actual,Cur_Month+18)</f>
        <v>11875.5</v>
      </c>
      <c r="J147" s="7">
        <f t="shared" ref="J147:J156" si="69">IF(I147=0,"NA",-(+F147-I147)/I147)</f>
        <v>-9.1867289798324231E-2</v>
      </c>
      <c r="L147" s="123">
        <f>+'Current Year Budget'!R147-'YTD Report'!F147</f>
        <v>-866.46999999999935</v>
      </c>
      <c r="M147" s="7">
        <f>IF('Current Year Budget'!R147=0,0,+L147/'Current Year Budget'!R147)</f>
        <v>-7.1609090909090858E-2</v>
      </c>
      <c r="N147" s="234" t="s">
        <v>215</v>
      </c>
    </row>
    <row r="148" spans="1:14" hidden="1" outlineLevel="1" x14ac:dyDescent="0.25">
      <c r="A148" s="106">
        <v>143</v>
      </c>
      <c r="C148" s="1" t="s">
        <v>102</v>
      </c>
      <c r="F148" s="108">
        <f t="shared" si="65"/>
        <v>5317.15</v>
      </c>
      <c r="G148" s="108">
        <f t="shared" si="66"/>
        <v>3000</v>
      </c>
      <c r="H148" s="7">
        <f t="shared" si="67"/>
        <v>-0.7723833333333332</v>
      </c>
      <c r="I148" s="123">
        <f t="shared" si="68"/>
        <v>2743.5</v>
      </c>
      <c r="J148" s="7">
        <f t="shared" si="69"/>
        <v>-0.93809003098232169</v>
      </c>
      <c r="L148" s="123">
        <f>+'Current Year Budget'!R148-'YTD Report'!F148</f>
        <v>-317.14999999999964</v>
      </c>
      <c r="M148" s="7">
        <f>IF('Current Year Budget'!R148=0,0,+L148/'Current Year Budget'!R148)</f>
        <v>-6.3429999999999931E-2</v>
      </c>
      <c r="N148" s="234"/>
    </row>
    <row r="149" spans="1:14" hidden="1" outlineLevel="1" x14ac:dyDescent="0.25">
      <c r="A149" s="106">
        <v>144</v>
      </c>
      <c r="C149" s="1" t="s">
        <v>103</v>
      </c>
      <c r="F149" s="108">
        <f t="shared" si="65"/>
        <v>1894.38</v>
      </c>
      <c r="G149" s="108">
        <f t="shared" si="66"/>
        <v>2083.2999999999997</v>
      </c>
      <c r="H149" s="7">
        <f t="shared" si="67"/>
        <v>9.0683050928814693E-2</v>
      </c>
      <c r="I149" s="123">
        <f t="shared" si="68"/>
        <v>1844.53</v>
      </c>
      <c r="J149" s="7">
        <f t="shared" si="69"/>
        <v>-2.7025854824806395E-2</v>
      </c>
      <c r="L149" s="123">
        <f>+'Current Year Budget'!R149-'YTD Report'!F149</f>
        <v>605.61999999999989</v>
      </c>
      <c r="M149" s="7">
        <f>IF('Current Year Budget'!R149=0,0,+L149/'Current Year Budget'!R149)</f>
        <v>0.24224799999999996</v>
      </c>
      <c r="N149" s="234"/>
    </row>
    <row r="150" spans="1:14" ht="28.5" hidden="1" customHeight="1" outlineLevel="1" x14ac:dyDescent="0.25">
      <c r="A150" s="106">
        <v>145</v>
      </c>
      <c r="C150" s="223" t="s">
        <v>129</v>
      </c>
      <c r="D150" s="223"/>
      <c r="F150" s="108">
        <f t="shared" si="65"/>
        <v>3170.9500000000003</v>
      </c>
      <c r="G150" s="108">
        <f t="shared" si="66"/>
        <v>3333.2999999999997</v>
      </c>
      <c r="H150" s="7">
        <f t="shared" si="67"/>
        <v>4.8705487054870392E-2</v>
      </c>
      <c r="I150" s="123">
        <f t="shared" si="68"/>
        <v>2795.6400000000003</v>
      </c>
      <c r="J150" s="7">
        <f t="shared" si="69"/>
        <v>-0.13424832954171492</v>
      </c>
      <c r="L150" s="123">
        <f>+'Current Year Budget'!R150-'YTD Report'!F150</f>
        <v>829.04999999999973</v>
      </c>
      <c r="M150" s="7">
        <f>IF('Current Year Budget'!R150=0,0,+L150/'Current Year Budget'!R150)</f>
        <v>0.20726249999999993</v>
      </c>
      <c r="N150" s="234"/>
    </row>
    <row r="151" spans="1:14" hidden="1" outlineLevel="1" x14ac:dyDescent="0.25">
      <c r="A151" s="106">
        <v>146</v>
      </c>
      <c r="C151" s="1" t="s">
        <v>104</v>
      </c>
      <c r="F151" s="108">
        <f t="shared" si="65"/>
        <v>2998.28</v>
      </c>
      <c r="G151" s="108">
        <f t="shared" si="66"/>
        <v>5000</v>
      </c>
      <c r="H151" s="7">
        <f t="shared" si="67"/>
        <v>0.40034399999999998</v>
      </c>
      <c r="I151" s="123">
        <f t="shared" si="68"/>
        <v>2899.72</v>
      </c>
      <c r="J151" s="7">
        <f t="shared" si="69"/>
        <v>-3.3989488640282652E-2</v>
      </c>
      <c r="L151" s="123">
        <f>+'Current Year Budget'!R151-'YTD Report'!F151</f>
        <v>3001.72</v>
      </c>
      <c r="M151" s="7">
        <f>IF('Current Year Budget'!R151=0,0,+L151/'Current Year Budget'!R151)</f>
        <v>0.50028666666666666</v>
      </c>
      <c r="N151" s="234"/>
    </row>
    <row r="152" spans="1:14" hidden="1" outlineLevel="1" x14ac:dyDescent="0.25">
      <c r="A152" s="106">
        <v>147</v>
      </c>
      <c r="C152" s="1" t="s">
        <v>105</v>
      </c>
      <c r="F152" s="108">
        <f t="shared" si="65"/>
        <v>0</v>
      </c>
      <c r="G152" s="108">
        <f t="shared" si="66"/>
        <v>0</v>
      </c>
      <c r="H152" s="7" t="str">
        <f t="shared" si="67"/>
        <v>NA</v>
      </c>
      <c r="I152" s="123">
        <f t="shared" si="68"/>
        <v>0</v>
      </c>
      <c r="J152" s="7" t="str">
        <f t="shared" si="69"/>
        <v>NA</v>
      </c>
      <c r="L152" s="123">
        <f>+'Current Year Budget'!R152-'YTD Report'!F152</f>
        <v>0</v>
      </c>
      <c r="M152" s="7">
        <f>IF('Current Year Budget'!R152=0,0,+L152/'Current Year Budget'!R152)</f>
        <v>0</v>
      </c>
      <c r="N152" s="234"/>
    </row>
    <row r="153" spans="1:14" hidden="1" outlineLevel="1" x14ac:dyDescent="0.25">
      <c r="A153" s="106">
        <v>148</v>
      </c>
      <c r="C153" s="1" t="s">
        <v>107</v>
      </c>
      <c r="F153" s="108">
        <f t="shared" si="65"/>
        <v>45730</v>
      </c>
      <c r="G153" s="108">
        <f t="shared" si="66"/>
        <v>45750</v>
      </c>
      <c r="H153" s="7">
        <f t="shared" si="67"/>
        <v>4.3715846994535519E-4</v>
      </c>
      <c r="I153" s="123">
        <f t="shared" si="68"/>
        <v>45730</v>
      </c>
      <c r="J153" s="7">
        <f t="shared" si="69"/>
        <v>0</v>
      </c>
      <c r="L153" s="123">
        <f>+'Current Year Budget'!R153-'YTD Report'!F153</f>
        <v>9170</v>
      </c>
      <c r="M153" s="7">
        <f>IF('Current Year Budget'!R153=0,0,+L153/'Current Year Budget'!R153)</f>
        <v>0.16703096539162113</v>
      </c>
      <c r="N153" s="234"/>
    </row>
    <row r="154" spans="1:14" hidden="1" outlineLevel="1" x14ac:dyDescent="0.25">
      <c r="A154" s="106">
        <v>149</v>
      </c>
      <c r="C154" s="1" t="s">
        <v>106</v>
      </c>
      <c r="F154" s="108">
        <f t="shared" si="65"/>
        <v>292.27</v>
      </c>
      <c r="G154" s="108">
        <f t="shared" si="66"/>
        <v>570</v>
      </c>
      <c r="H154" s="7">
        <f t="shared" si="67"/>
        <v>0.48724561403508776</v>
      </c>
      <c r="I154" s="123">
        <f t="shared" si="68"/>
        <v>546.31000000000006</v>
      </c>
      <c r="J154" s="7">
        <f t="shared" si="69"/>
        <v>0.46501070820596374</v>
      </c>
      <c r="L154" s="123">
        <f>+'Current Year Budget'!R154-'YTD Report'!F154</f>
        <v>391.73</v>
      </c>
      <c r="M154" s="7">
        <f>IF('Current Year Budget'!R154=0,0,+L154/'Current Year Budget'!R154)</f>
        <v>0.57270467836257311</v>
      </c>
      <c r="N154" s="234"/>
    </row>
    <row r="155" spans="1:14" s="5" customFormat="1" collapsed="1" x14ac:dyDescent="0.25">
      <c r="A155" s="106">
        <v>150</v>
      </c>
      <c r="B155" s="36" t="s">
        <v>108</v>
      </c>
      <c r="C155" s="36"/>
      <c r="D155" s="36"/>
      <c r="F155" s="120">
        <f>SUM(F147:F154)</f>
        <v>72369.5</v>
      </c>
      <c r="G155" s="120">
        <f>SUM(G147:G154)</f>
        <v>71836.600000000006</v>
      </c>
      <c r="H155" s="37">
        <f t="shared" si="67"/>
        <v>-7.4182241364429014E-3</v>
      </c>
      <c r="I155" s="131">
        <f>SUM(I147:I154)</f>
        <v>68435.199999999997</v>
      </c>
      <c r="J155" s="37">
        <f t="shared" si="69"/>
        <v>-5.7489420649022772E-2</v>
      </c>
      <c r="L155" s="131">
        <f>SUM(L147:L154)</f>
        <v>12814.5</v>
      </c>
      <c r="M155" s="37">
        <f>IF('Current Year Budget'!R155=0,0,+L155/'Current Year Budget'!R155)</f>
        <v>0.15043317993989483</v>
      </c>
      <c r="N155" s="234"/>
    </row>
    <row r="156" spans="1:14" x14ac:dyDescent="0.25">
      <c r="A156" s="106">
        <v>151</v>
      </c>
      <c r="B156" s="36" t="s">
        <v>109</v>
      </c>
      <c r="C156" s="36"/>
      <c r="D156" s="36"/>
      <c r="F156" s="120">
        <f t="shared" ref="F156:G156" si="70">+F144+F155</f>
        <v>106350.20999999999</v>
      </c>
      <c r="G156" s="120">
        <f t="shared" si="70"/>
        <v>107716.6</v>
      </c>
      <c r="H156" s="37">
        <f t="shared" si="67"/>
        <v>1.2685045758963929E-2</v>
      </c>
      <c r="I156" s="131">
        <f t="shared" ref="I156" si="71">+I144+I155</f>
        <v>103809.97</v>
      </c>
      <c r="J156" s="37">
        <f t="shared" si="69"/>
        <v>-2.4470096658345923E-2</v>
      </c>
      <c r="L156" s="131">
        <f t="shared" ref="L156" si="72">+L144+L155</f>
        <v>21069.79</v>
      </c>
      <c r="M156" s="37">
        <f>IF('Current Year Budget'!R156=0,0,+L156/'Current Year Budget'!R156)</f>
        <v>0.16535700831894523</v>
      </c>
    </row>
    <row r="157" spans="1:14" ht="4.5" customHeight="1" x14ac:dyDescent="0.25">
      <c r="A157" s="106">
        <v>152</v>
      </c>
      <c r="F157" s="110"/>
      <c r="G157" s="110"/>
      <c r="I157" s="125"/>
      <c r="L157" s="125"/>
    </row>
    <row r="158" spans="1:14" ht="18.75" customHeight="1" x14ac:dyDescent="0.25">
      <c r="A158" s="106">
        <v>153</v>
      </c>
      <c r="B158" s="11" t="s">
        <v>110</v>
      </c>
      <c r="F158" s="110"/>
      <c r="G158" s="110"/>
      <c r="I158" s="125"/>
      <c r="L158" s="125"/>
      <c r="N158" s="233" t="s">
        <v>227</v>
      </c>
    </row>
    <row r="159" spans="1:14" ht="15" hidden="1" customHeight="1" outlineLevel="1" x14ac:dyDescent="0.25">
      <c r="A159" s="106">
        <v>154</v>
      </c>
      <c r="B159" s="5" t="s">
        <v>111</v>
      </c>
      <c r="F159" s="110"/>
      <c r="G159" s="110"/>
      <c r="I159" s="125"/>
      <c r="L159" s="125"/>
      <c r="N159" s="233"/>
    </row>
    <row r="160" spans="1:14" ht="15" hidden="1" customHeight="1" outlineLevel="1" x14ac:dyDescent="0.25">
      <c r="A160" s="106">
        <v>155</v>
      </c>
      <c r="C160" s="1" t="s">
        <v>112</v>
      </c>
      <c r="F160" s="108">
        <f>VLOOKUP($A160,Cur_Actuals,Cur_Month+18)</f>
        <v>0</v>
      </c>
      <c r="G160" s="108">
        <f>VLOOKUP($A160,Cur_Budget,Cur_Month+18)</f>
        <v>0</v>
      </c>
      <c r="H160" s="7" t="str">
        <f t="shared" ref="H160:H164" si="73">IF(G160=0,"NA",-(+F160-G160)/G160)</f>
        <v>NA</v>
      </c>
      <c r="I160" s="123">
        <f>VLOOKUP($A160,PY_Actual,Cur_Month+18)</f>
        <v>0</v>
      </c>
      <c r="J160" s="7" t="str">
        <f t="shared" ref="J160:J164" si="74">IF(I160=0,"NA",-(+F160-I160)/I160)</f>
        <v>NA</v>
      </c>
      <c r="L160" s="123">
        <f>+'Current Year Budget'!R160-'YTD Report'!F160</f>
        <v>0</v>
      </c>
      <c r="M160" s="7">
        <f>IF('Current Year Budget'!R160=0,0,+L160/'Current Year Budget'!R160)</f>
        <v>0</v>
      </c>
      <c r="N160" s="233"/>
    </row>
    <row r="161" spans="1:14" ht="15" hidden="1" customHeight="1" outlineLevel="1" x14ac:dyDescent="0.25">
      <c r="A161" s="106">
        <v>156</v>
      </c>
      <c r="C161" s="1" t="s">
        <v>113</v>
      </c>
      <c r="F161" s="108">
        <f>VLOOKUP($A161,Cur_Actuals,Cur_Month+18)</f>
        <v>0</v>
      </c>
      <c r="G161" s="108">
        <f>VLOOKUP($A161,Cur_Budget,Cur_Month+18)</f>
        <v>3386.25</v>
      </c>
      <c r="H161" s="7">
        <f t="shared" si="73"/>
        <v>1</v>
      </c>
      <c r="I161" s="123">
        <f>VLOOKUP($A161,PY_Actual,Cur_Month+18)</f>
        <v>2500</v>
      </c>
      <c r="J161" s="7">
        <f t="shared" si="74"/>
        <v>1</v>
      </c>
      <c r="L161" s="123">
        <f>+'Current Year Budget'!R161-'YTD Report'!F161</f>
        <v>4515</v>
      </c>
      <c r="M161" s="7">
        <f>IF('Current Year Budget'!R161=0,0,+L161/'Current Year Budget'!R161)</f>
        <v>1</v>
      </c>
      <c r="N161" s="233"/>
    </row>
    <row r="162" spans="1:14" ht="15" hidden="1" customHeight="1" outlineLevel="1" x14ac:dyDescent="0.25">
      <c r="A162" s="106">
        <v>157</v>
      </c>
      <c r="C162" s="1" t="s">
        <v>114</v>
      </c>
      <c r="F162" s="108">
        <f>VLOOKUP($A162,Cur_Actuals,Cur_Month+18)</f>
        <v>0</v>
      </c>
      <c r="G162" s="108">
        <f>VLOOKUP($A162,Cur_Budget,Cur_Month+18)</f>
        <v>0</v>
      </c>
      <c r="H162" s="7" t="str">
        <f t="shared" si="73"/>
        <v>NA</v>
      </c>
      <c r="I162" s="123">
        <f>VLOOKUP($A162,PY_Actual,Cur_Month+18)</f>
        <v>0</v>
      </c>
      <c r="J162" s="7" t="str">
        <f t="shared" si="74"/>
        <v>NA</v>
      </c>
      <c r="L162" s="123">
        <f>+'Current Year Budget'!R162-'YTD Report'!F162</f>
        <v>0</v>
      </c>
      <c r="M162" s="7">
        <f>IF('Current Year Budget'!R162=0,0,+L162/'Current Year Budget'!R162)</f>
        <v>0</v>
      </c>
      <c r="N162" s="233"/>
    </row>
    <row r="163" spans="1:14" ht="15" hidden="1" customHeight="1" outlineLevel="1" x14ac:dyDescent="0.25">
      <c r="A163" s="106">
        <v>158</v>
      </c>
      <c r="C163" s="1" t="s">
        <v>115</v>
      </c>
      <c r="F163" s="108">
        <f>VLOOKUP($A163,Cur_Actuals,Cur_Month+18)</f>
        <v>3000</v>
      </c>
      <c r="G163" s="108">
        <f>VLOOKUP($A163,Cur_Budget,Cur_Month+18)</f>
        <v>3387</v>
      </c>
      <c r="H163" s="7">
        <f t="shared" si="73"/>
        <v>0.11426040744021258</v>
      </c>
      <c r="I163" s="123">
        <f>VLOOKUP($A163,PY_Actual,Cur_Month+18)</f>
        <v>0</v>
      </c>
      <c r="J163" s="7" t="str">
        <f t="shared" si="74"/>
        <v>NA</v>
      </c>
      <c r="L163" s="123">
        <f>+'Current Year Budget'!R163-'YTD Report'!F163</f>
        <v>1516</v>
      </c>
      <c r="M163" s="7">
        <f>IF('Current Year Budget'!R163=0,0,+L163/'Current Year Budget'!R163)</f>
        <v>0.33569530558015942</v>
      </c>
      <c r="N163" s="233"/>
    </row>
    <row r="164" spans="1:14" s="5" customFormat="1" ht="15" customHeight="1" collapsed="1" x14ac:dyDescent="0.25">
      <c r="A164" s="106">
        <v>159</v>
      </c>
      <c r="B164" s="38" t="s">
        <v>116</v>
      </c>
      <c r="C164" s="38"/>
      <c r="D164" s="38"/>
      <c r="F164" s="121">
        <f>SUM(F160:F163)</f>
        <v>3000</v>
      </c>
      <c r="G164" s="121">
        <f>SUM(G160:G163)</f>
        <v>6773.25</v>
      </c>
      <c r="H164" s="39">
        <f t="shared" si="73"/>
        <v>0.55708116487653636</v>
      </c>
      <c r="I164" s="133">
        <f>SUM(I160:I163)</f>
        <v>2500</v>
      </c>
      <c r="J164" s="39">
        <f t="shared" si="74"/>
        <v>-0.2</v>
      </c>
      <c r="L164" s="133">
        <f>SUM(L160:L163)</f>
        <v>6031</v>
      </c>
      <c r="M164" s="39">
        <f>IF('Current Year Budget'!R164=0,0,+L164/'Current Year Budget'!R164)</f>
        <v>0.66781087365740233</v>
      </c>
      <c r="N164" s="233"/>
    </row>
    <row r="165" spans="1:14" ht="7.5" customHeight="1" x14ac:dyDescent="0.25">
      <c r="A165" s="106">
        <v>160</v>
      </c>
      <c r="F165" s="110"/>
      <c r="G165" s="110"/>
      <c r="I165" s="125"/>
      <c r="L165" s="125"/>
      <c r="N165" s="233"/>
    </row>
    <row r="166" spans="1:14" x14ac:dyDescent="0.25">
      <c r="A166" s="106">
        <v>161</v>
      </c>
      <c r="B166" s="40" t="s">
        <v>117</v>
      </c>
      <c r="C166" s="41"/>
      <c r="D166" s="41"/>
      <c r="F166" s="122">
        <f>+F82+F133+F156+F164+F31</f>
        <v>461158.51999999996</v>
      </c>
      <c r="G166" s="122">
        <f>+G82+G133+G156+G164+G31</f>
        <v>477060.85</v>
      </c>
      <c r="H166" s="42">
        <f>IF(G166=0,"NA",-(+F166-G166)/G166)</f>
        <v>3.3333965677544104E-2</v>
      </c>
      <c r="I166" s="134">
        <f>+I82+I133+I156+I164+I31</f>
        <v>460120.34999999992</v>
      </c>
      <c r="J166" s="42">
        <f>IF(I166=0,"NA",-(+F166-I166)/I166)</f>
        <v>-2.2563009873395995E-3</v>
      </c>
      <c r="L166" s="134">
        <f>+L82+L133+L156+L164+L31</f>
        <v>111346.48</v>
      </c>
      <c r="M166" s="42">
        <f>IF('Current Year Budget'!R166=0,0,+L166/'Current Year Budget'!R166)</f>
        <v>0.19448996951991684</v>
      </c>
      <c r="N166" s="233"/>
    </row>
    <row r="167" spans="1:14" x14ac:dyDescent="0.25">
      <c r="A167" s="106">
        <v>162</v>
      </c>
      <c r="B167" s="40" t="s">
        <v>118</v>
      </c>
      <c r="C167" s="41"/>
      <c r="D167" s="41"/>
      <c r="F167" s="122">
        <f>+F22-F166</f>
        <v>9312.3100000000559</v>
      </c>
      <c r="G167" s="122">
        <f>+G22-G166</f>
        <v>4126.9800000000396</v>
      </c>
      <c r="H167" s="42">
        <f>IF(G167=0,"NA",(+F167-G167)/G167)</f>
        <v>1.2564466026004406</v>
      </c>
      <c r="I167" s="134">
        <f>+I22-I166</f>
        <v>7300.3300000000745</v>
      </c>
      <c r="J167" s="42">
        <f>IF(I167=0,"NA",(+F167-I167)/I167)</f>
        <v>0.27560123994394237</v>
      </c>
      <c r="L167" s="134"/>
      <c r="M167" s="42"/>
      <c r="N167" s="233"/>
    </row>
    <row r="168" spans="1:14" x14ac:dyDescent="0.25">
      <c r="I168" s="1"/>
      <c r="L168" s="1"/>
    </row>
    <row r="169" spans="1:14" x14ac:dyDescent="0.25">
      <c r="I169" s="1"/>
    </row>
    <row r="170" spans="1:14" x14ac:dyDescent="0.25">
      <c r="I170" s="1"/>
    </row>
    <row r="171" spans="1:14" x14ac:dyDescent="0.25">
      <c r="I171" s="1"/>
    </row>
    <row r="172" spans="1:14" x14ac:dyDescent="0.25">
      <c r="I172" s="1"/>
    </row>
    <row r="173" spans="1:14" x14ac:dyDescent="0.25">
      <c r="I173" s="1"/>
    </row>
    <row r="174" spans="1:14" x14ac:dyDescent="0.25">
      <c r="I174" s="1"/>
    </row>
    <row r="175" spans="1:14" x14ac:dyDescent="0.25">
      <c r="I175" s="1"/>
    </row>
    <row r="176" spans="1:14" x14ac:dyDescent="0.25">
      <c r="I176" s="1"/>
    </row>
    <row r="177" spans="9:9" x14ac:dyDescent="0.25">
      <c r="I177" s="1"/>
    </row>
    <row r="178" spans="9:9" x14ac:dyDescent="0.25">
      <c r="I178" s="1"/>
    </row>
    <row r="179" spans="9:9" x14ac:dyDescent="0.25">
      <c r="I179" s="1"/>
    </row>
    <row r="180" spans="9:9" x14ac:dyDescent="0.25">
      <c r="I180" s="1"/>
    </row>
    <row r="181" spans="9:9" x14ac:dyDescent="0.25">
      <c r="I181" s="1"/>
    </row>
    <row r="182" spans="9:9" x14ac:dyDescent="0.25">
      <c r="I182" s="1"/>
    </row>
    <row r="183" spans="9:9" x14ac:dyDescent="0.25">
      <c r="I183" s="1"/>
    </row>
    <row r="184" spans="9:9" x14ac:dyDescent="0.25">
      <c r="I184" s="1"/>
    </row>
    <row r="185" spans="9:9" x14ac:dyDescent="0.25">
      <c r="I185" s="1"/>
    </row>
    <row r="186" spans="9:9" x14ac:dyDescent="0.25">
      <c r="I186" s="1"/>
    </row>
    <row r="187" spans="9:9" x14ac:dyDescent="0.25">
      <c r="I187" s="1"/>
    </row>
  </sheetData>
  <mergeCells count="12">
    <mergeCell ref="O46:O50"/>
    <mergeCell ref="N126:N127"/>
    <mergeCell ref="N122:N125"/>
    <mergeCell ref="N46:N47"/>
    <mergeCell ref="B1:N1"/>
    <mergeCell ref="F3:J3"/>
    <mergeCell ref="N158:N167"/>
    <mergeCell ref="C150:D150"/>
    <mergeCell ref="L3:M3"/>
    <mergeCell ref="N59:N61"/>
    <mergeCell ref="N35:N41"/>
    <mergeCell ref="N147:N155"/>
  </mergeCells>
  <pageMargins left="0" right="0" top="0" bottom="0" header="0.3" footer="0.3"/>
  <pageSetup scale="68" fitToHeight="0" orientation="landscape"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189"/>
  <sheetViews>
    <sheetView showGridLines="0" topLeftCell="B1" workbookViewId="0">
      <selection activeCell="E3" sqref="E3:I3"/>
    </sheetView>
  </sheetViews>
  <sheetFormatPr defaultRowHeight="15" outlineLevelRow="2" x14ac:dyDescent="0.25"/>
  <cols>
    <col min="1" max="1" width="4.42578125" style="106" hidden="1" customWidth="1"/>
    <col min="2" max="2" width="4.28515625" style="5" customWidth="1"/>
    <col min="3" max="3" width="9.140625" style="1"/>
    <col min="4" max="4" width="24.7109375" style="1" customWidth="1"/>
    <col min="5" max="6" width="12.140625" style="1" customWidth="1"/>
    <col min="7" max="7" width="11" style="1" customWidth="1"/>
    <col min="8" max="8" width="12.5703125" style="1" bestFit="1" customWidth="1"/>
    <col min="9" max="9" width="11.85546875" style="66" customWidth="1"/>
    <col min="10" max="10" width="4.5703125" style="1" customWidth="1"/>
    <col min="11" max="11" width="12.5703125" style="1" bestFit="1" customWidth="1"/>
    <col min="12" max="12" width="13.28515625" style="1" customWidth="1"/>
    <col min="13" max="13" width="10" style="66" bestFit="1" customWidth="1"/>
    <col min="14" max="14" width="11.140625" style="66" customWidth="1"/>
    <col min="15" max="15" width="10" style="66" customWidth="1"/>
    <col min="16" max="16" width="24.85546875" style="46" customWidth="1"/>
    <col min="17" max="17" width="10" style="1" bestFit="1" customWidth="1"/>
    <col min="18" max="18" width="11.5703125" style="1" bestFit="1" customWidth="1"/>
    <col min="19" max="16384" width="9.140625" style="1"/>
  </cols>
  <sheetData>
    <row r="1" spans="1:16" ht="41.25" customHeight="1" x14ac:dyDescent="0.25">
      <c r="B1" s="227" t="s">
        <v>123</v>
      </c>
      <c r="C1" s="227"/>
      <c r="D1" s="227"/>
      <c r="E1" s="227"/>
      <c r="F1" s="227"/>
      <c r="G1" s="227"/>
      <c r="H1" s="227"/>
      <c r="I1" s="227"/>
      <c r="J1" s="227"/>
      <c r="K1" s="227"/>
      <c r="L1" s="227"/>
      <c r="M1" s="227"/>
      <c r="N1" s="227"/>
      <c r="O1" s="227"/>
      <c r="P1" s="227"/>
    </row>
    <row r="2" spans="1:16" ht="8.25" customHeight="1" x14ac:dyDescent="0.25">
      <c r="B2" s="228"/>
      <c r="C2" s="228"/>
      <c r="D2" s="228"/>
      <c r="E2" s="228"/>
      <c r="F2" s="228"/>
      <c r="G2" s="228"/>
      <c r="H2" s="228"/>
      <c r="I2" s="228"/>
      <c r="J2" s="228"/>
      <c r="K2" s="228"/>
      <c r="L2" s="228"/>
      <c r="M2" s="228"/>
      <c r="N2" s="228"/>
      <c r="O2" s="228"/>
      <c r="P2" s="228"/>
    </row>
    <row r="3" spans="1:16" ht="23.25" customHeight="1" x14ac:dyDescent="0.25">
      <c r="E3" s="224" t="str">
        <f>"Month of "&amp;VLOOKUP(Cur_Month,Lookup_Month,2)</f>
        <v>Month of October</v>
      </c>
      <c r="F3" s="225"/>
      <c r="G3" s="225"/>
      <c r="H3" s="225"/>
      <c r="I3" s="226"/>
      <c r="K3" s="224" t="str">
        <f>VLOOKUP(Cur_Month,Lookup_Month,2)&amp;" YTD"</f>
        <v>October YTD</v>
      </c>
      <c r="L3" s="225"/>
      <c r="M3" s="225"/>
      <c r="N3" s="225"/>
      <c r="O3" s="226"/>
    </row>
    <row r="4" spans="1:16" s="5" customFormat="1" ht="53.25" customHeight="1" x14ac:dyDescent="0.25">
      <c r="A4" s="107"/>
      <c r="C4" s="5" t="s">
        <v>204</v>
      </c>
      <c r="E4" s="2" t="s">
        <v>184</v>
      </c>
      <c r="F4" s="65" t="s">
        <v>185</v>
      </c>
      <c r="G4" s="65" t="s">
        <v>120</v>
      </c>
      <c r="H4" s="65" t="s">
        <v>186</v>
      </c>
      <c r="I4" s="4" t="s">
        <v>187</v>
      </c>
      <c r="K4" s="2" t="s">
        <v>184</v>
      </c>
      <c r="L4" s="65" t="s">
        <v>185</v>
      </c>
      <c r="M4" s="65" t="s">
        <v>120</v>
      </c>
      <c r="N4" s="65" t="s">
        <v>186</v>
      </c>
      <c r="O4" s="4" t="s">
        <v>187</v>
      </c>
      <c r="P4" s="10" t="s">
        <v>130</v>
      </c>
    </row>
    <row r="5" spans="1:16" s="5" customFormat="1" ht="18.75" x14ac:dyDescent="0.25">
      <c r="A5" s="107"/>
      <c r="B5" s="11" t="s">
        <v>0</v>
      </c>
      <c r="E5" s="12"/>
      <c r="F5" s="67"/>
      <c r="G5" s="67"/>
      <c r="H5" s="67"/>
      <c r="I5" s="67"/>
      <c r="K5" s="67"/>
      <c r="L5" s="67"/>
      <c r="M5" s="67"/>
      <c r="N5" s="67"/>
      <c r="O5" s="67"/>
      <c r="P5" s="14"/>
    </row>
    <row r="6" spans="1:16" hidden="1" outlineLevel="1" x14ac:dyDescent="0.25">
      <c r="A6" s="106">
        <v>1</v>
      </c>
      <c r="B6" s="5" t="s">
        <v>1</v>
      </c>
      <c r="N6" s="1"/>
    </row>
    <row r="7" spans="1:16" hidden="1" outlineLevel="1" x14ac:dyDescent="0.25">
      <c r="A7" s="106">
        <v>2</v>
      </c>
      <c r="C7" s="1" t="s">
        <v>1</v>
      </c>
      <c r="E7" s="108">
        <f t="shared" ref="E7:E12" si="0">VLOOKUP($A7,Cur_Actuals,Cur_Month+5)</f>
        <v>34040</v>
      </c>
      <c r="F7" s="108">
        <f t="shared" ref="F7:F12" si="1">VLOOKUP($A7,Cur_Budget,Cur_Month+5)</f>
        <v>37752.089999999997</v>
      </c>
      <c r="G7" s="7">
        <f>IF(F7=0,"NA",(+E7-F7)/F7)</f>
        <v>-9.8328066075282106E-2</v>
      </c>
      <c r="H7" s="123">
        <f t="shared" ref="H7:H12" si="2">VLOOKUP($A7,PY_Actual,Cur_Month+5)</f>
        <v>33238</v>
      </c>
      <c r="I7" s="7">
        <f t="shared" ref="I7:I13" si="3">IF(H7=0,"NA",(+E7-H7)/H7)</f>
        <v>2.4129008965641734E-2</v>
      </c>
      <c r="K7" s="108">
        <f t="shared" ref="K7:K12" si="4">VLOOKUP($A7,Cur_Actuals,Cur_Month+18)</f>
        <v>453566.68</v>
      </c>
      <c r="L7" s="108">
        <f t="shared" ref="L7:L12" si="5">VLOOKUP($A7,Cur_Budget,Cur_Month+18)</f>
        <v>466154.53</v>
      </c>
      <c r="M7" s="7">
        <f>IF(L7=0,"NA",(+K7-L7)/L7)</f>
        <v>-2.7003598999670846E-2</v>
      </c>
      <c r="N7" s="123">
        <f t="shared" ref="N7:N12" si="6">VLOOKUP($A7,PY_Actual,Cur_Month+18)</f>
        <v>453265.74</v>
      </c>
      <c r="O7" s="7">
        <f>IF(N7=0,"NA",(+K7-N7)/N7)</f>
        <v>6.6393723028791533E-4</v>
      </c>
    </row>
    <row r="8" spans="1:16" hidden="1" outlineLevel="1" x14ac:dyDescent="0.25">
      <c r="A8" s="106">
        <v>3</v>
      </c>
      <c r="C8" s="1" t="s">
        <v>2</v>
      </c>
      <c r="E8" s="108">
        <f t="shared" si="0"/>
        <v>0</v>
      </c>
      <c r="F8" s="108">
        <f t="shared" si="1"/>
        <v>0</v>
      </c>
      <c r="G8" s="7" t="str">
        <f t="shared" ref="G8:G13" si="7">IF(F8=0,"NA",(+E8-F8)/F8)</f>
        <v>NA</v>
      </c>
      <c r="H8" s="123">
        <f t="shared" si="2"/>
        <v>0</v>
      </c>
      <c r="I8" s="7" t="str">
        <f t="shared" si="3"/>
        <v>NA</v>
      </c>
      <c r="K8" s="108">
        <f t="shared" si="4"/>
        <v>0</v>
      </c>
      <c r="L8" s="108">
        <f t="shared" si="5"/>
        <v>0</v>
      </c>
      <c r="M8" s="7" t="str">
        <f t="shared" ref="M8:M12" si="8">IF(L8=0,"NA",(+K8-L8)/L8)</f>
        <v>NA</v>
      </c>
      <c r="N8" s="123">
        <f t="shared" si="6"/>
        <v>0</v>
      </c>
      <c r="O8" s="7" t="str">
        <f t="shared" ref="O8:O12" si="9">IF(N8=0,"NA",(+K8-N8)/N8)</f>
        <v>NA</v>
      </c>
    </row>
    <row r="9" spans="1:16" hidden="1" outlineLevel="1" x14ac:dyDescent="0.25">
      <c r="A9" s="106">
        <v>4</v>
      </c>
      <c r="C9" s="1" t="s">
        <v>3</v>
      </c>
      <c r="E9" s="108">
        <f t="shared" si="0"/>
        <v>0</v>
      </c>
      <c r="F9" s="108">
        <f t="shared" si="1"/>
        <v>0</v>
      </c>
      <c r="G9" s="7" t="str">
        <f t="shared" si="7"/>
        <v>NA</v>
      </c>
      <c r="H9" s="123">
        <f t="shared" si="2"/>
        <v>0</v>
      </c>
      <c r="I9" s="7" t="str">
        <f t="shared" si="3"/>
        <v>NA</v>
      </c>
      <c r="K9" s="108">
        <f t="shared" si="4"/>
        <v>4532</v>
      </c>
      <c r="L9" s="108">
        <f t="shared" si="5"/>
        <v>4000</v>
      </c>
      <c r="M9" s="7">
        <f t="shared" si="8"/>
        <v>0.13300000000000001</v>
      </c>
      <c r="N9" s="123">
        <f t="shared" si="6"/>
        <v>3157</v>
      </c>
      <c r="O9" s="7">
        <f t="shared" si="9"/>
        <v>0.43554006968641112</v>
      </c>
    </row>
    <row r="10" spans="1:16" hidden="1" outlineLevel="1" x14ac:dyDescent="0.25">
      <c r="A10" s="106">
        <v>5</v>
      </c>
      <c r="C10" s="1" t="s">
        <v>4</v>
      </c>
      <c r="E10" s="108">
        <f t="shared" si="0"/>
        <v>0</v>
      </c>
      <c r="F10" s="108">
        <f t="shared" si="1"/>
        <v>0</v>
      </c>
      <c r="G10" s="7" t="str">
        <f t="shared" si="7"/>
        <v>NA</v>
      </c>
      <c r="H10" s="123">
        <f t="shared" si="2"/>
        <v>0</v>
      </c>
      <c r="I10" s="7" t="str">
        <f t="shared" si="3"/>
        <v>NA</v>
      </c>
      <c r="K10" s="108">
        <f t="shared" si="4"/>
        <v>0</v>
      </c>
      <c r="L10" s="108">
        <f t="shared" si="5"/>
        <v>0</v>
      </c>
      <c r="M10" s="7" t="str">
        <f t="shared" si="8"/>
        <v>NA</v>
      </c>
      <c r="N10" s="123">
        <f t="shared" si="6"/>
        <v>0</v>
      </c>
      <c r="O10" s="7" t="str">
        <f t="shared" si="9"/>
        <v>NA</v>
      </c>
    </row>
    <row r="11" spans="1:16" hidden="1" outlineLevel="1" x14ac:dyDescent="0.25">
      <c r="A11" s="106">
        <v>6</v>
      </c>
      <c r="C11" s="1" t="s">
        <v>5</v>
      </c>
      <c r="E11" s="108">
        <f t="shared" si="0"/>
        <v>0</v>
      </c>
      <c r="F11" s="108">
        <f t="shared" si="1"/>
        <v>0</v>
      </c>
      <c r="G11" s="7" t="str">
        <f t="shared" si="7"/>
        <v>NA</v>
      </c>
      <c r="H11" s="123">
        <f t="shared" si="2"/>
        <v>0</v>
      </c>
      <c r="I11" s="7" t="str">
        <f t="shared" si="3"/>
        <v>NA</v>
      </c>
      <c r="K11" s="108">
        <f t="shared" si="4"/>
        <v>0</v>
      </c>
      <c r="L11" s="108">
        <f t="shared" si="5"/>
        <v>0</v>
      </c>
      <c r="M11" s="7" t="str">
        <f t="shared" si="8"/>
        <v>NA</v>
      </c>
      <c r="N11" s="123">
        <f t="shared" si="6"/>
        <v>0</v>
      </c>
      <c r="O11" s="7" t="str">
        <f t="shared" si="9"/>
        <v>NA</v>
      </c>
    </row>
    <row r="12" spans="1:16" hidden="1" outlineLevel="1" x14ac:dyDescent="0.25">
      <c r="A12" s="106">
        <v>7</v>
      </c>
      <c r="C12" s="1" t="s">
        <v>6</v>
      </c>
      <c r="E12" s="108">
        <f t="shared" si="0"/>
        <v>0</v>
      </c>
      <c r="F12" s="108">
        <f t="shared" si="1"/>
        <v>0</v>
      </c>
      <c r="G12" s="7" t="str">
        <f t="shared" si="7"/>
        <v>NA</v>
      </c>
      <c r="H12" s="123">
        <f t="shared" si="2"/>
        <v>0</v>
      </c>
      <c r="I12" s="7" t="str">
        <f t="shared" si="3"/>
        <v>NA</v>
      </c>
      <c r="K12" s="108">
        <f t="shared" si="4"/>
        <v>2035.51</v>
      </c>
      <c r="L12" s="108">
        <f t="shared" si="5"/>
        <v>2700</v>
      </c>
      <c r="M12" s="7">
        <f t="shared" si="8"/>
        <v>-0.24610740740740741</v>
      </c>
      <c r="N12" s="123">
        <f t="shared" si="6"/>
        <v>3333.66</v>
      </c>
      <c r="O12" s="7">
        <f t="shared" si="9"/>
        <v>-0.38940683812986326</v>
      </c>
    </row>
    <row r="13" spans="1:16" collapsed="1" x14ac:dyDescent="0.25">
      <c r="A13" s="106">
        <v>8</v>
      </c>
      <c r="B13" s="15" t="s">
        <v>7</v>
      </c>
      <c r="C13" s="15"/>
      <c r="D13" s="15"/>
      <c r="E13" s="109">
        <f>SUM(E7:E12)</f>
        <v>34040</v>
      </c>
      <c r="F13" s="109">
        <f>SUM(F7:F12)</f>
        <v>37752.089999999997</v>
      </c>
      <c r="G13" s="16">
        <f t="shared" si="7"/>
        <v>-9.8328066075282106E-2</v>
      </c>
      <c r="H13" s="124">
        <f>SUM(H7:H12)</f>
        <v>33238</v>
      </c>
      <c r="I13" s="16">
        <f t="shared" si="3"/>
        <v>2.4129008965641734E-2</v>
      </c>
      <c r="K13" s="109">
        <f>SUM(K7:K12)</f>
        <v>460134.19</v>
      </c>
      <c r="L13" s="109">
        <f>SUM(L7:L12)</f>
        <v>472854.53</v>
      </c>
      <c r="M13" s="16">
        <f t="shared" ref="M13" si="10">IF(L13=0,"NA",(+K13-L13)/L13)</f>
        <v>-2.6901169795285718E-2</v>
      </c>
      <c r="N13" s="124">
        <f>SUM(N7:N12)</f>
        <v>459756.39999999997</v>
      </c>
      <c r="O13" s="16">
        <f t="shared" ref="O13" si="11">IF(N13=0,"NA",(+K13-N13)/N13)</f>
        <v>8.2171776184091676E-4</v>
      </c>
    </row>
    <row r="14" spans="1:16" ht="5.25" hidden="1" customHeight="1" outlineLevel="1" x14ac:dyDescent="0.25">
      <c r="A14" s="106">
        <v>9</v>
      </c>
      <c r="E14" s="110"/>
      <c r="F14" s="110"/>
      <c r="G14" s="66"/>
      <c r="H14" s="125"/>
      <c r="K14" s="110"/>
      <c r="L14" s="110"/>
      <c r="N14" s="125"/>
    </row>
    <row r="15" spans="1:16" hidden="1" outlineLevel="1" x14ac:dyDescent="0.25">
      <c r="A15" s="106">
        <v>10</v>
      </c>
      <c r="B15" s="5" t="s">
        <v>8</v>
      </c>
      <c r="E15" s="110"/>
      <c r="F15" s="110"/>
      <c r="G15" s="66"/>
      <c r="H15" s="125"/>
      <c r="K15" s="110"/>
      <c r="L15" s="110"/>
      <c r="N15" s="125"/>
    </row>
    <row r="16" spans="1:16" hidden="1" outlineLevel="1" x14ac:dyDescent="0.25">
      <c r="A16" s="106">
        <v>11</v>
      </c>
      <c r="C16" s="1" t="s">
        <v>9</v>
      </c>
      <c r="E16" s="108">
        <f>VLOOKUP($A16,Cur_Actuals,Cur_Month+5)</f>
        <v>430.99</v>
      </c>
      <c r="F16" s="108">
        <f>VLOOKUP($A16,Cur_Budget,Cur_Month+5)</f>
        <v>833.33</v>
      </c>
      <c r="G16" s="7">
        <f t="shared" ref="G16:G22" si="12">IF(F16=0,"NA",(+E16-F16)/F16)</f>
        <v>-0.48280993123972499</v>
      </c>
      <c r="H16" s="123">
        <f>VLOOKUP($A16,PY_Actual,Cur_Month+5)</f>
        <v>898.42</v>
      </c>
      <c r="I16" s="7">
        <f t="shared" ref="I16:I22" si="13">IF(H16=0,"NA",(+E16-H16)/H16)</f>
        <v>-0.5202800471939627</v>
      </c>
      <c r="K16" s="108">
        <f>VLOOKUP($A16,Cur_Actuals,Cur_Month+18)</f>
        <v>5123.95</v>
      </c>
      <c r="L16" s="108">
        <f>VLOOKUP($A16,Cur_Budget,Cur_Month+18)</f>
        <v>8333.3000000000011</v>
      </c>
      <c r="M16" s="7">
        <f t="shared" ref="M16:M20" si="14">IF(L16=0,"NA",(+K16-L16)/L16)</f>
        <v>-0.38512354049416209</v>
      </c>
      <c r="N16" s="123">
        <f>VLOOKUP($A16,PY_Actual,Cur_Month+18)</f>
        <v>5986.8000000000011</v>
      </c>
      <c r="O16" s="7">
        <f t="shared" ref="O16:O20" si="15">IF(N16=0,"NA",(+K16-N16)/N16)</f>
        <v>-0.14412540923364756</v>
      </c>
      <c r="P16" s="17"/>
    </row>
    <row r="17" spans="1:16" hidden="1" outlineLevel="1" x14ac:dyDescent="0.25">
      <c r="A17" s="106">
        <v>12</v>
      </c>
      <c r="C17" s="1" t="s">
        <v>8</v>
      </c>
      <c r="E17" s="108">
        <f>VLOOKUP($A17,Cur_Actuals,Cur_Month+5)</f>
        <v>3825</v>
      </c>
      <c r="F17" s="108">
        <f>VLOOKUP($A17,Cur_Budget,Cur_Month+5)</f>
        <v>0</v>
      </c>
      <c r="G17" s="7" t="str">
        <f t="shared" si="12"/>
        <v>NA</v>
      </c>
      <c r="H17" s="123">
        <f>VLOOKUP($A17,PY_Actual,Cur_Month+5)</f>
        <v>65</v>
      </c>
      <c r="I17" s="7">
        <f t="shared" si="13"/>
        <v>57.846153846153847</v>
      </c>
      <c r="K17" s="108">
        <f>VLOOKUP($A17,Cur_Actuals,Cur_Month+18)</f>
        <v>5209</v>
      </c>
      <c r="L17" s="108">
        <f>VLOOKUP($A17,Cur_Budget,Cur_Month+18)</f>
        <v>0</v>
      </c>
      <c r="M17" s="7" t="str">
        <f t="shared" si="14"/>
        <v>NA</v>
      </c>
      <c r="N17" s="123">
        <f>VLOOKUP($A17,PY_Actual,Cur_Month+18)</f>
        <v>1663.79</v>
      </c>
      <c r="O17" s="7">
        <f t="shared" si="15"/>
        <v>2.1308037673023641</v>
      </c>
    </row>
    <row r="18" spans="1:16" hidden="1" outlineLevel="1" x14ac:dyDescent="0.25">
      <c r="A18" s="106">
        <v>13</v>
      </c>
      <c r="C18" s="1" t="s">
        <v>10</v>
      </c>
      <c r="E18" s="108">
        <f>VLOOKUP($A18,Cur_Actuals,Cur_Month+5)</f>
        <v>0</v>
      </c>
      <c r="F18" s="108">
        <f>VLOOKUP($A18,Cur_Budget,Cur_Month+5)</f>
        <v>0</v>
      </c>
      <c r="G18" s="7" t="str">
        <f t="shared" si="12"/>
        <v>NA</v>
      </c>
      <c r="H18" s="123">
        <f>VLOOKUP($A18,PY_Actual,Cur_Month+5)</f>
        <v>0</v>
      </c>
      <c r="I18" s="7" t="str">
        <f t="shared" si="13"/>
        <v>NA</v>
      </c>
      <c r="K18" s="108">
        <f>VLOOKUP($A18,Cur_Actuals,Cur_Month+18)</f>
        <v>0</v>
      </c>
      <c r="L18" s="108">
        <f>VLOOKUP($A18,Cur_Budget,Cur_Month+18)</f>
        <v>0</v>
      </c>
      <c r="M18" s="7" t="str">
        <f t="shared" si="14"/>
        <v>NA</v>
      </c>
      <c r="N18" s="123">
        <f>VLOOKUP($A18,PY_Actual,Cur_Month+18)</f>
        <v>0</v>
      </c>
      <c r="O18" s="7" t="str">
        <f t="shared" si="15"/>
        <v>NA</v>
      </c>
    </row>
    <row r="19" spans="1:16" hidden="1" outlineLevel="1" x14ac:dyDescent="0.25">
      <c r="A19" s="106">
        <v>14</v>
      </c>
      <c r="C19" s="1" t="s">
        <v>12</v>
      </c>
      <c r="E19" s="108">
        <f>VLOOKUP($A19,Cur_Actuals,Cur_Month+5)</f>
        <v>0</v>
      </c>
      <c r="F19" s="108">
        <f>VLOOKUP($A19,Cur_Budget,Cur_Month+5)</f>
        <v>0</v>
      </c>
      <c r="G19" s="7" t="str">
        <f t="shared" si="12"/>
        <v>NA</v>
      </c>
      <c r="H19" s="123">
        <f>VLOOKUP($A19,PY_Actual,Cur_Month+5)</f>
        <v>0</v>
      </c>
      <c r="I19" s="7" t="str">
        <f t="shared" si="13"/>
        <v>NA</v>
      </c>
      <c r="K19" s="108">
        <f>VLOOKUP($A19,Cur_Actuals,Cur_Month+18)</f>
        <v>3.69</v>
      </c>
      <c r="L19" s="108">
        <f>VLOOKUP($A19,Cur_Budget,Cur_Month+18)</f>
        <v>0</v>
      </c>
      <c r="M19" s="7" t="str">
        <f t="shared" si="14"/>
        <v>NA</v>
      </c>
      <c r="N19" s="123">
        <f>VLOOKUP($A19,PY_Actual,Cur_Month+18)</f>
        <v>3.6900000000000004</v>
      </c>
      <c r="O19" s="7">
        <f t="shared" si="15"/>
        <v>-1.2034937936316059E-16</v>
      </c>
    </row>
    <row r="20" spans="1:16" hidden="1" outlineLevel="1" x14ac:dyDescent="0.25">
      <c r="A20" s="106">
        <v>15</v>
      </c>
      <c r="C20" s="1" t="s">
        <v>142</v>
      </c>
      <c r="E20" s="108">
        <f>VLOOKUP($A20,Cur_Actuals,Cur_Month+5)</f>
        <v>-25</v>
      </c>
      <c r="F20" s="108">
        <f>VLOOKUP($A20,Cur_Budget,Cur_Month+5)</f>
        <v>0</v>
      </c>
      <c r="G20" s="7" t="str">
        <f t="shared" si="12"/>
        <v>NA</v>
      </c>
      <c r="H20" s="123">
        <f>VLOOKUP($A20,PY_Actual,Cur_Month+5)</f>
        <v>0</v>
      </c>
      <c r="I20" s="7" t="str">
        <f t="shared" si="13"/>
        <v>NA</v>
      </c>
      <c r="K20" s="108">
        <f>VLOOKUP($A20,Cur_Actuals,Cur_Month+18)</f>
        <v>0</v>
      </c>
      <c r="L20" s="108">
        <f>VLOOKUP($A20,Cur_Budget,Cur_Month+18)</f>
        <v>0</v>
      </c>
      <c r="M20" s="7" t="str">
        <f t="shared" si="14"/>
        <v>NA</v>
      </c>
      <c r="N20" s="123">
        <f>VLOOKUP($A20,PY_Actual,Cur_Month+18)</f>
        <v>10</v>
      </c>
      <c r="O20" s="7">
        <f t="shared" si="15"/>
        <v>-1</v>
      </c>
    </row>
    <row r="21" spans="1:16" collapsed="1" x14ac:dyDescent="0.25">
      <c r="A21" s="106">
        <v>16</v>
      </c>
      <c r="B21" s="15" t="s">
        <v>11</v>
      </c>
      <c r="C21" s="15"/>
      <c r="D21" s="15"/>
      <c r="E21" s="109">
        <f>SUM(E16:E20)</f>
        <v>4230.99</v>
      </c>
      <c r="F21" s="109">
        <f>SUM(F16:F20)</f>
        <v>833.33</v>
      </c>
      <c r="G21" s="16">
        <f t="shared" si="12"/>
        <v>4.0772083088332352</v>
      </c>
      <c r="H21" s="124">
        <f t="shared" ref="H21" si="16">SUM(H16:H20)</f>
        <v>963.42</v>
      </c>
      <c r="I21" s="16">
        <f t="shared" si="13"/>
        <v>3.3916360465840443</v>
      </c>
      <c r="K21" s="109">
        <f t="shared" ref="K21:L21" si="17">SUM(K16:K20)</f>
        <v>10336.640000000001</v>
      </c>
      <c r="L21" s="109">
        <f t="shared" si="17"/>
        <v>8333.3000000000011</v>
      </c>
      <c r="M21" s="16">
        <f t="shared" ref="M21:M22" si="18">IF(L21=0,"NA",(+K21-L21)/L21)</f>
        <v>0.2404017616070464</v>
      </c>
      <c r="N21" s="124">
        <f t="shared" ref="N21" si="19">SUM(N16:N20)</f>
        <v>7664.2800000000007</v>
      </c>
      <c r="O21" s="16">
        <f t="shared" ref="O21:O22" si="20">IF(N21=0,"NA",(+K21-N21)/N21)</f>
        <v>0.34867724039309633</v>
      </c>
    </row>
    <row r="22" spans="1:16" x14ac:dyDescent="0.25">
      <c r="A22" s="106">
        <v>17</v>
      </c>
      <c r="B22" s="15" t="s">
        <v>14</v>
      </c>
      <c r="C22" s="15"/>
      <c r="D22" s="15"/>
      <c r="E22" s="109">
        <f>+E13+E21</f>
        <v>38270.99</v>
      </c>
      <c r="F22" s="109">
        <f>+F13+F21</f>
        <v>38585.42</v>
      </c>
      <c r="G22" s="16">
        <f t="shared" si="12"/>
        <v>-8.1489329389183868E-3</v>
      </c>
      <c r="H22" s="124">
        <f t="shared" ref="H22" si="21">+H13+H21</f>
        <v>34201.42</v>
      </c>
      <c r="I22" s="16">
        <f t="shared" si="13"/>
        <v>0.11898833440248972</v>
      </c>
      <c r="K22" s="109">
        <f t="shared" ref="K22:L22" si="22">+K13+K21</f>
        <v>470470.83</v>
      </c>
      <c r="L22" s="109">
        <f t="shared" si="22"/>
        <v>481187.83</v>
      </c>
      <c r="M22" s="16">
        <f t="shared" si="18"/>
        <v>-2.2271968100273858E-2</v>
      </c>
      <c r="N22" s="124">
        <f t="shared" ref="N22" si="23">+N13+N21</f>
        <v>467420.68</v>
      </c>
      <c r="O22" s="16">
        <f t="shared" si="20"/>
        <v>6.5254921968793149E-3</v>
      </c>
    </row>
    <row r="23" spans="1:16" ht="6" customHeight="1" x14ac:dyDescent="0.25">
      <c r="A23" s="106">
        <v>18</v>
      </c>
      <c r="E23" s="110"/>
      <c r="F23" s="110"/>
      <c r="G23" s="66"/>
      <c r="H23" s="125"/>
      <c r="K23" s="110"/>
      <c r="L23" s="110"/>
      <c r="N23" s="125"/>
    </row>
    <row r="24" spans="1:16" ht="18.75" hidden="1" outlineLevel="1" x14ac:dyDescent="0.25">
      <c r="A24" s="106">
        <v>19</v>
      </c>
      <c r="B24" s="11" t="s">
        <v>15</v>
      </c>
      <c r="E24" s="110"/>
      <c r="F24" s="110"/>
      <c r="G24" s="66"/>
      <c r="H24" s="125"/>
      <c r="K24" s="110"/>
      <c r="L24" s="110"/>
      <c r="N24" s="125"/>
    </row>
    <row r="25" spans="1:16" ht="18.75" hidden="1" outlineLevel="1" x14ac:dyDescent="0.25">
      <c r="A25" s="106">
        <v>20</v>
      </c>
      <c r="B25" s="11" t="s">
        <v>137</v>
      </c>
      <c r="E25" s="110"/>
      <c r="F25" s="110"/>
      <c r="G25" s="66"/>
      <c r="H25" s="125"/>
      <c r="K25" s="110"/>
      <c r="L25" s="110"/>
      <c r="N25" s="125"/>
    </row>
    <row r="26" spans="1:16" hidden="1" outlineLevel="1" x14ac:dyDescent="0.25">
      <c r="A26" s="106">
        <v>21</v>
      </c>
      <c r="C26" s="1" t="s">
        <v>17</v>
      </c>
      <c r="E26" s="110"/>
      <c r="F26" s="110"/>
      <c r="G26" s="66"/>
      <c r="H26" s="125"/>
      <c r="K26" s="110"/>
      <c r="L26" s="110"/>
      <c r="N26" s="125"/>
    </row>
    <row r="27" spans="1:16" hidden="1" outlineLevel="1" x14ac:dyDescent="0.25">
      <c r="A27" s="106">
        <v>22</v>
      </c>
      <c r="C27" s="1" t="s">
        <v>16</v>
      </c>
      <c r="E27" s="111"/>
      <c r="F27" s="111"/>
      <c r="G27" s="66"/>
      <c r="H27" s="125"/>
      <c r="K27" s="110"/>
      <c r="L27" s="110"/>
      <c r="N27" s="125"/>
    </row>
    <row r="28" spans="1:16" hidden="1" outlineLevel="1" x14ac:dyDescent="0.25">
      <c r="A28" s="106">
        <v>23</v>
      </c>
      <c r="C28" s="1" t="s">
        <v>18</v>
      </c>
      <c r="E28" s="111"/>
      <c r="F28" s="111"/>
      <c r="G28" s="66"/>
      <c r="H28" s="125"/>
      <c r="K28" s="110"/>
      <c r="L28" s="110"/>
      <c r="N28" s="125"/>
    </row>
    <row r="29" spans="1:16" hidden="1" outlineLevel="1" x14ac:dyDescent="0.25">
      <c r="A29" s="106">
        <v>24</v>
      </c>
      <c r="C29" s="1" t="s">
        <v>19</v>
      </c>
      <c r="E29" s="111"/>
      <c r="F29" s="111"/>
      <c r="G29" s="66"/>
      <c r="H29" s="125"/>
      <c r="K29" s="110"/>
      <c r="L29" s="110"/>
      <c r="N29" s="125"/>
    </row>
    <row r="30" spans="1:16" hidden="1" outlineLevel="1" x14ac:dyDescent="0.25">
      <c r="A30" s="106">
        <v>25</v>
      </c>
      <c r="C30" s="1" t="s">
        <v>17</v>
      </c>
      <c r="E30" s="110"/>
      <c r="F30" s="110"/>
      <c r="G30" s="66"/>
      <c r="H30" s="125"/>
      <c r="K30" s="110"/>
      <c r="L30" s="110"/>
      <c r="N30" s="125"/>
    </row>
    <row r="31" spans="1:16" s="5" customFormat="1" collapsed="1" x14ac:dyDescent="0.25">
      <c r="A31" s="106">
        <v>26</v>
      </c>
      <c r="B31" s="18"/>
      <c r="C31" s="19" t="s">
        <v>138</v>
      </c>
      <c r="D31" s="18"/>
      <c r="E31" s="112">
        <f>VLOOKUP($A31,Cur_Actuals,Cur_Month+5)</f>
        <v>2718.33</v>
      </c>
      <c r="F31" s="113">
        <f>VLOOKUP($A31,Cur_Budget,Cur_Month+5)</f>
        <v>2853.41</v>
      </c>
      <c r="G31" s="21">
        <f>IF(F31=0,"NA",(+E31-F31)/F31)</f>
        <v>-4.7339849513389223E-2</v>
      </c>
      <c r="H31" s="126">
        <f>VLOOKUP($A31,PY_Actual,Cur_Month+5)</f>
        <v>2708.33</v>
      </c>
      <c r="I31" s="21">
        <f>IF(H31=0,"NA",(+E31-H31)/H31)</f>
        <v>3.6923122366919838E-3</v>
      </c>
      <c r="J31" s="18"/>
      <c r="K31" s="113">
        <f>VLOOKUP($A31,Cur_Actuals,Cur_Month+18)</f>
        <v>40095.800000000003</v>
      </c>
      <c r="L31" s="113">
        <f>VLOOKUP($A31,Cur_Budget,Cur_Month+18)</f>
        <v>41346.600000000006</v>
      </c>
      <c r="M31" s="153">
        <f>IF(L31=0,"NA",(+K31-L31)/L31)</f>
        <v>-3.0251580541084459E-2</v>
      </c>
      <c r="N31" s="126">
        <f>VLOOKUP($A31,PY_Actual,Cur_Month+18)</f>
        <v>39835.80000000001</v>
      </c>
      <c r="O31" s="153">
        <f>IF(N31=0,"NA",(+K31-N31)/N31)</f>
        <v>6.5267924831431193E-3</v>
      </c>
      <c r="P31" s="14"/>
    </row>
    <row r="32" spans="1:16" s="5" customFormat="1" ht="6.75" customHeight="1" x14ac:dyDescent="0.25">
      <c r="A32" s="106">
        <v>27</v>
      </c>
      <c r="B32" s="22"/>
      <c r="C32" s="23"/>
      <c r="D32" s="22"/>
      <c r="E32" s="114"/>
      <c r="F32" s="115"/>
      <c r="G32" s="25"/>
      <c r="H32" s="127"/>
      <c r="I32" s="25"/>
      <c r="J32" s="22"/>
      <c r="K32" s="115"/>
      <c r="L32" s="115"/>
      <c r="M32" s="25"/>
      <c r="N32" s="127"/>
      <c r="O32" s="25"/>
      <c r="P32" s="14"/>
    </row>
    <row r="33" spans="1:16" s="5" customFormat="1" ht="18.75" x14ac:dyDescent="0.25">
      <c r="A33" s="106">
        <v>28</v>
      </c>
      <c r="B33" s="26" t="s">
        <v>91</v>
      </c>
      <c r="C33" s="23"/>
      <c r="D33" s="22"/>
      <c r="E33" s="114"/>
      <c r="F33" s="115"/>
      <c r="G33" s="25"/>
      <c r="H33" s="127"/>
      <c r="I33" s="25"/>
      <c r="J33" s="22"/>
      <c r="K33" s="115"/>
      <c r="L33" s="115"/>
      <c r="M33" s="25"/>
      <c r="N33" s="127"/>
      <c r="O33" s="25"/>
      <c r="P33" s="14"/>
    </row>
    <row r="34" spans="1:16" hidden="1" outlineLevel="1" x14ac:dyDescent="0.25">
      <c r="A34" s="106">
        <v>29</v>
      </c>
      <c r="B34" s="5" t="s">
        <v>20</v>
      </c>
      <c r="E34" s="110"/>
      <c r="F34" s="110"/>
      <c r="G34" s="66"/>
      <c r="H34" s="125"/>
      <c r="K34" s="110"/>
      <c r="L34" s="110"/>
      <c r="N34" s="125"/>
    </row>
    <row r="35" spans="1:16" hidden="1" outlineLevel="1" x14ac:dyDescent="0.25">
      <c r="A35" s="106">
        <v>30</v>
      </c>
      <c r="C35" s="1" t="s">
        <v>119</v>
      </c>
      <c r="E35" s="108">
        <f t="shared" ref="E35:E40" si="24">VLOOKUP($A35,Cur_Actuals,Cur_Month+5)</f>
        <v>379.47</v>
      </c>
      <c r="F35" s="108">
        <f t="shared" ref="F35:F40" si="25">VLOOKUP($A35,Cur_Budget,Cur_Month+5)</f>
        <v>349.5</v>
      </c>
      <c r="G35" s="7">
        <f t="shared" ref="G35:G41" si="26">IF(F35=0,"NA",(+E35-F35)/F35)</f>
        <v>8.5751072961373465E-2</v>
      </c>
      <c r="H35" s="123">
        <f t="shared" ref="H35:H40" si="27">VLOOKUP($A35,PY_Actual,Cur_Month+5)</f>
        <v>184.67</v>
      </c>
      <c r="I35" s="7">
        <f t="shared" ref="I35:I41" si="28">IF(H35=0,"NA",(+E35-H35)/H35)</f>
        <v>1.0548546055125361</v>
      </c>
      <c r="K35" s="108">
        <f t="shared" ref="K35:K40" si="29">VLOOKUP($A35,Cur_Actuals,Cur_Month+18)</f>
        <v>1474.3</v>
      </c>
      <c r="L35" s="108">
        <f t="shared" ref="L35:L40" si="30">VLOOKUP($A35,Cur_Budget,Cur_Month+18)</f>
        <v>2800</v>
      </c>
      <c r="M35" s="7">
        <f t="shared" ref="M35:M40" si="31">IF(L35=0,"NA",(+K35-L35)/L35)</f>
        <v>-0.47346428571428573</v>
      </c>
      <c r="N35" s="123">
        <f t="shared" ref="N35:N40" si="32">VLOOKUP($A35,PY_Actual,Cur_Month+18)</f>
        <v>3196.13</v>
      </c>
      <c r="O35" s="7">
        <f t="shared" ref="O35:O40" si="33">IF(N35=0,"NA",(+K35-N35)/N35)</f>
        <v>-0.53872339360414001</v>
      </c>
    </row>
    <row r="36" spans="1:16" hidden="1" outlineLevel="1" x14ac:dyDescent="0.25">
      <c r="A36" s="106">
        <v>31</v>
      </c>
      <c r="C36" s="1" t="s">
        <v>21</v>
      </c>
      <c r="E36" s="108">
        <f t="shared" si="24"/>
        <v>203.66</v>
      </c>
      <c r="F36" s="108">
        <f t="shared" si="25"/>
        <v>75.5</v>
      </c>
      <c r="G36" s="7">
        <f t="shared" si="26"/>
        <v>1.6974834437086093</v>
      </c>
      <c r="H36" s="123">
        <f t="shared" si="27"/>
        <v>216.51</v>
      </c>
      <c r="I36" s="7">
        <f t="shared" si="28"/>
        <v>-5.9350607362246524E-2</v>
      </c>
      <c r="K36" s="108">
        <f t="shared" si="29"/>
        <v>535.77</v>
      </c>
      <c r="L36" s="108">
        <f t="shared" si="30"/>
        <v>600</v>
      </c>
      <c r="M36" s="7">
        <f t="shared" si="31"/>
        <v>-0.10705000000000003</v>
      </c>
      <c r="N36" s="123">
        <f t="shared" si="32"/>
        <v>847.67</v>
      </c>
      <c r="O36" s="7">
        <f t="shared" si="33"/>
        <v>-0.3679497917821794</v>
      </c>
    </row>
    <row r="37" spans="1:16" hidden="1" outlineLevel="1" x14ac:dyDescent="0.25">
      <c r="A37" s="106">
        <v>32</v>
      </c>
      <c r="C37" s="1" t="s">
        <v>22</v>
      </c>
      <c r="E37" s="108">
        <f t="shared" si="24"/>
        <v>0</v>
      </c>
      <c r="F37" s="108">
        <f t="shared" si="25"/>
        <v>0</v>
      </c>
      <c r="G37" s="7" t="str">
        <f t="shared" si="26"/>
        <v>NA</v>
      </c>
      <c r="H37" s="123">
        <f t="shared" si="27"/>
        <v>0</v>
      </c>
      <c r="I37" s="7" t="str">
        <f t="shared" si="28"/>
        <v>NA</v>
      </c>
      <c r="K37" s="108">
        <f t="shared" si="29"/>
        <v>795.86</v>
      </c>
      <c r="L37" s="108">
        <f t="shared" si="30"/>
        <v>750</v>
      </c>
      <c r="M37" s="7">
        <f t="shared" si="31"/>
        <v>6.1146666666666682E-2</v>
      </c>
      <c r="N37" s="123">
        <f t="shared" si="32"/>
        <v>418.24</v>
      </c>
      <c r="O37" s="7">
        <f t="shared" si="33"/>
        <v>0.90287872991583784</v>
      </c>
    </row>
    <row r="38" spans="1:16" hidden="1" outlineLevel="1" x14ac:dyDescent="0.25">
      <c r="A38" s="106">
        <v>33</v>
      </c>
      <c r="C38" s="1" t="s">
        <v>23</v>
      </c>
      <c r="E38" s="108">
        <f t="shared" si="24"/>
        <v>498.62</v>
      </c>
      <c r="F38" s="108">
        <f t="shared" si="25"/>
        <v>41.67</v>
      </c>
      <c r="G38" s="7">
        <f t="shared" si="26"/>
        <v>10.965922726181905</v>
      </c>
      <c r="H38" s="123">
        <f t="shared" si="27"/>
        <v>0</v>
      </c>
      <c r="I38" s="7" t="str">
        <f t="shared" si="28"/>
        <v>NA</v>
      </c>
      <c r="K38" s="108">
        <f t="shared" si="29"/>
        <v>498.62</v>
      </c>
      <c r="L38" s="108">
        <f t="shared" si="30"/>
        <v>416.7000000000001</v>
      </c>
      <c r="M38" s="7">
        <f t="shared" si="31"/>
        <v>0.19659227261819026</v>
      </c>
      <c r="N38" s="123">
        <f t="shared" si="32"/>
        <v>498.55</v>
      </c>
      <c r="O38" s="7">
        <f t="shared" si="33"/>
        <v>1.4040718082437704E-4</v>
      </c>
    </row>
    <row r="39" spans="1:16" hidden="1" outlineLevel="1" x14ac:dyDescent="0.25">
      <c r="A39" s="106">
        <v>34</v>
      </c>
      <c r="C39" s="1" t="s">
        <v>24</v>
      </c>
      <c r="E39" s="108">
        <f t="shared" si="24"/>
        <v>0</v>
      </c>
      <c r="F39" s="108">
        <f t="shared" si="25"/>
        <v>0</v>
      </c>
      <c r="G39" s="7" t="str">
        <f t="shared" si="26"/>
        <v>NA</v>
      </c>
      <c r="H39" s="123">
        <f t="shared" si="27"/>
        <v>0</v>
      </c>
      <c r="I39" s="7" t="str">
        <f t="shared" si="28"/>
        <v>NA</v>
      </c>
      <c r="K39" s="108">
        <f t="shared" si="29"/>
        <v>90.07</v>
      </c>
      <c r="L39" s="108">
        <f t="shared" si="30"/>
        <v>200</v>
      </c>
      <c r="M39" s="7">
        <f t="shared" si="31"/>
        <v>-0.54965000000000008</v>
      </c>
      <c r="N39" s="123">
        <f t="shared" si="32"/>
        <v>232.51999999999998</v>
      </c>
      <c r="O39" s="7">
        <f t="shared" si="33"/>
        <v>-0.61263547221744363</v>
      </c>
    </row>
    <row r="40" spans="1:16" hidden="1" outlineLevel="1" x14ac:dyDescent="0.25">
      <c r="A40" s="106">
        <v>35</v>
      </c>
      <c r="C40" s="1" t="s">
        <v>124</v>
      </c>
      <c r="E40" s="108">
        <f t="shared" si="24"/>
        <v>742.81</v>
      </c>
      <c r="F40" s="108">
        <f t="shared" si="25"/>
        <v>62.5</v>
      </c>
      <c r="G40" s="7">
        <f t="shared" si="26"/>
        <v>10.88496</v>
      </c>
      <c r="H40" s="123">
        <f t="shared" si="27"/>
        <v>0</v>
      </c>
      <c r="I40" s="7" t="str">
        <f t="shared" si="28"/>
        <v>NA</v>
      </c>
      <c r="K40" s="108">
        <f t="shared" si="29"/>
        <v>742.81</v>
      </c>
      <c r="L40" s="108">
        <f t="shared" si="30"/>
        <v>625</v>
      </c>
      <c r="M40" s="7">
        <f t="shared" si="31"/>
        <v>0.18849599999999991</v>
      </c>
      <c r="N40" s="123">
        <f t="shared" si="32"/>
        <v>0</v>
      </c>
      <c r="O40" s="7" t="str">
        <f t="shared" si="33"/>
        <v>NA</v>
      </c>
    </row>
    <row r="41" spans="1:16" s="5" customFormat="1" collapsed="1" x14ac:dyDescent="0.25">
      <c r="A41" s="106">
        <v>36</v>
      </c>
      <c r="B41" s="51" t="s">
        <v>25</v>
      </c>
      <c r="C41" s="51"/>
      <c r="D41" s="51"/>
      <c r="E41" s="116">
        <f>SUM(E35:E40)</f>
        <v>1824.56</v>
      </c>
      <c r="F41" s="116">
        <f>SUM(F35:F40)</f>
        <v>529.17000000000007</v>
      </c>
      <c r="G41" s="28">
        <f t="shared" si="26"/>
        <v>2.4479656821059388</v>
      </c>
      <c r="H41" s="128">
        <f t="shared" ref="H41" si="34">SUM(H35:H40)</f>
        <v>401.17999999999995</v>
      </c>
      <c r="I41" s="28">
        <f t="shared" si="28"/>
        <v>3.5479834488259643</v>
      </c>
      <c r="K41" s="116">
        <f t="shared" ref="K41:L41" si="35">SUM(K35:K40)</f>
        <v>4137.43</v>
      </c>
      <c r="L41" s="116">
        <f t="shared" si="35"/>
        <v>5391.7</v>
      </c>
      <c r="M41" s="28">
        <f t="shared" ref="M41" si="36">IF(L41=0,"NA",(+K41-L41)/L41)</f>
        <v>-0.23262978281432564</v>
      </c>
      <c r="N41" s="128">
        <f t="shared" ref="N41" si="37">SUM(N35:N40)</f>
        <v>5193.1100000000006</v>
      </c>
      <c r="O41" s="28">
        <f t="shared" ref="O41" si="38">IF(N41=0,"NA",(+K41-N41)/N41)</f>
        <v>-0.20328473689176624</v>
      </c>
      <c r="P41" s="14"/>
    </row>
    <row r="42" spans="1:16" ht="6" hidden="1" customHeight="1" outlineLevel="1" x14ac:dyDescent="0.25">
      <c r="A42" s="106">
        <v>37</v>
      </c>
      <c r="E42" s="110"/>
      <c r="F42" s="110"/>
      <c r="G42" s="66"/>
      <c r="H42" s="125"/>
      <c r="K42" s="110"/>
      <c r="L42" s="110"/>
      <c r="N42" s="125"/>
    </row>
    <row r="43" spans="1:16" collapsed="1" x14ac:dyDescent="0.25">
      <c r="A43" s="106">
        <v>38</v>
      </c>
      <c r="B43" s="51" t="s">
        <v>26</v>
      </c>
      <c r="C43" s="51"/>
      <c r="D43" s="51"/>
      <c r="E43" s="117">
        <f>VLOOKUP($A43,Cur_Actuals,Cur_Month+5)</f>
        <v>-33.04</v>
      </c>
      <c r="F43" s="117">
        <f>VLOOKUP($A43,Cur_Budget,Cur_Month+5)</f>
        <v>83.33</v>
      </c>
      <c r="G43" s="28">
        <f>IF(F43=0,"NA",(+E43-F43)/F43)</f>
        <v>-1.3964958598343935</v>
      </c>
      <c r="H43" s="129">
        <f>VLOOKUP($A43,PY_Actual,Cur_Month+5)</f>
        <v>43.95</v>
      </c>
      <c r="I43" s="28">
        <f>IF(H43=0,"NA",(+E43-H43)/H43)</f>
        <v>-1.7517633674630262</v>
      </c>
      <c r="K43" s="117">
        <f>VLOOKUP($A43,Cur_Actuals,Cur_Month+18)</f>
        <v>700.59</v>
      </c>
      <c r="L43" s="117">
        <f>VLOOKUP($A43,Cur_Budget,Cur_Month+18)</f>
        <v>833.30000000000007</v>
      </c>
      <c r="M43" s="154">
        <f t="shared" ref="M43" si="39">IF(L43=0,"NA",(+K43-L43)/L43)</f>
        <v>-0.15925837033481341</v>
      </c>
      <c r="N43" s="129">
        <f>VLOOKUP($A43,PY_Actual,Cur_Month+18)</f>
        <v>898.28</v>
      </c>
      <c r="O43" s="154">
        <f t="shared" ref="O43" si="40">IF(N43=0,"NA",(+K43-N43)/N43)</f>
        <v>-0.22007614552255417</v>
      </c>
    </row>
    <row r="44" spans="1:16" ht="7.5" hidden="1" customHeight="1" outlineLevel="1" x14ac:dyDescent="0.25">
      <c r="A44" s="106">
        <v>39</v>
      </c>
      <c r="E44" s="110"/>
      <c r="F44" s="110"/>
      <c r="G44" s="66"/>
      <c r="H44" s="125"/>
      <c r="K44" s="110"/>
      <c r="L44" s="110"/>
      <c r="N44" s="125"/>
    </row>
    <row r="45" spans="1:16" hidden="1" outlineLevel="1" x14ac:dyDescent="0.25">
      <c r="A45" s="106">
        <v>40</v>
      </c>
      <c r="B45" s="5" t="s">
        <v>27</v>
      </c>
      <c r="E45" s="110"/>
      <c r="F45" s="110"/>
      <c r="G45" s="66"/>
      <c r="H45" s="125"/>
      <c r="K45" s="110"/>
      <c r="L45" s="110"/>
      <c r="N45" s="125"/>
    </row>
    <row r="46" spans="1:16" hidden="1" outlineLevel="1" x14ac:dyDescent="0.25">
      <c r="A46" s="106">
        <v>41</v>
      </c>
      <c r="C46" s="1" t="s">
        <v>29</v>
      </c>
      <c r="E46" s="108">
        <f>VLOOKUP($A46,Cur_Actuals,Cur_Month+5)</f>
        <v>529.65</v>
      </c>
      <c r="F46" s="108">
        <f>VLOOKUP($A46,Cur_Budget,Cur_Month+5)</f>
        <v>441.67</v>
      </c>
      <c r="G46" s="7">
        <f t="shared" ref="G46:G50" si="41">IF(F46=0,"NA",(+E46-F46)/F46)</f>
        <v>0.19919849661511979</v>
      </c>
      <c r="H46" s="123">
        <f>VLOOKUP($A46,PY_Actual,Cur_Month+5)</f>
        <v>706.43</v>
      </c>
      <c r="I46" s="7">
        <f>IF(H46=0,"NA",(+E46-H46)/H46)</f>
        <v>-0.25024418555270866</v>
      </c>
      <c r="K46" s="108">
        <f>VLOOKUP($A46,Cur_Actuals,Cur_Month+18)</f>
        <v>4582.0199999999995</v>
      </c>
      <c r="L46" s="108">
        <f>VLOOKUP($A46,Cur_Budget,Cur_Month+18)</f>
        <v>4416.7</v>
      </c>
      <c r="M46" s="7">
        <f t="shared" ref="M46:M49" si="42">IF(L46=0,"NA",(+K46-L46)/L46)</f>
        <v>3.7430660900672381E-2</v>
      </c>
      <c r="N46" s="123">
        <f>VLOOKUP($A46,PY_Actual,Cur_Month+18)</f>
        <v>4276.8499999999995</v>
      </c>
      <c r="O46" s="7">
        <f t="shared" ref="O46:O49" si="43">IF(N46=0,"NA",(+K46-N46)/N46)</f>
        <v>7.1353917018366353E-2</v>
      </c>
    </row>
    <row r="47" spans="1:16" hidden="1" outlineLevel="1" x14ac:dyDescent="0.25">
      <c r="A47" s="106">
        <v>42</v>
      </c>
      <c r="C47" s="1" t="s">
        <v>30</v>
      </c>
      <c r="E47" s="108">
        <f>VLOOKUP($A47,Cur_Actuals,Cur_Month+5)</f>
        <v>100</v>
      </c>
      <c r="F47" s="108">
        <f>VLOOKUP($A47,Cur_Budget,Cur_Month+5)</f>
        <v>108.33</v>
      </c>
      <c r="G47" s="7">
        <f t="shared" si="41"/>
        <v>-7.6894673682267128E-2</v>
      </c>
      <c r="H47" s="123">
        <f>VLOOKUP($A47,PY_Actual,Cur_Month+5)</f>
        <v>250</v>
      </c>
      <c r="I47" s="7">
        <f>IF(H47=0,"NA",(+E47-H47)/H47)</f>
        <v>-0.6</v>
      </c>
      <c r="K47" s="108">
        <f>VLOOKUP($A47,Cur_Actuals,Cur_Month+18)</f>
        <v>1000</v>
      </c>
      <c r="L47" s="108">
        <f>VLOOKUP($A47,Cur_Budget,Cur_Month+18)</f>
        <v>1083.3000000000002</v>
      </c>
      <c r="M47" s="7">
        <f t="shared" si="42"/>
        <v>-7.6894673682267295E-2</v>
      </c>
      <c r="N47" s="123">
        <f>VLOOKUP($A47,PY_Actual,Cur_Month+18)</f>
        <v>1972.3600000000001</v>
      </c>
      <c r="O47" s="7">
        <f t="shared" si="43"/>
        <v>-0.49299316554787159</v>
      </c>
      <c r="P47" s="46" t="s">
        <v>132</v>
      </c>
    </row>
    <row r="48" spans="1:16" hidden="1" outlineLevel="1" x14ac:dyDescent="0.25">
      <c r="A48" s="106">
        <v>43</v>
      </c>
      <c r="C48" s="1" t="s">
        <v>31</v>
      </c>
      <c r="E48" s="108">
        <f>VLOOKUP($A48,Cur_Actuals,Cur_Month+5)</f>
        <v>0</v>
      </c>
      <c r="F48" s="108">
        <f>VLOOKUP($A48,Cur_Budget,Cur_Month+5)</f>
        <v>83.33</v>
      </c>
      <c r="G48" s="7">
        <f t="shared" si="41"/>
        <v>-1</v>
      </c>
      <c r="H48" s="123">
        <f>VLOOKUP($A48,PY_Actual,Cur_Month+5)</f>
        <v>172.97</v>
      </c>
      <c r="I48" s="7">
        <f>IF(H48=0,"NA",(+E48-H48)/H48)</f>
        <v>-1</v>
      </c>
      <c r="K48" s="108">
        <f>VLOOKUP($A48,Cur_Actuals,Cur_Month+18)</f>
        <v>730.85</v>
      </c>
      <c r="L48" s="108">
        <f>VLOOKUP($A48,Cur_Budget,Cur_Month+18)</f>
        <v>833.30000000000007</v>
      </c>
      <c r="M48" s="7">
        <f t="shared" si="42"/>
        <v>-0.12294491779671192</v>
      </c>
      <c r="N48" s="123">
        <f>VLOOKUP($A48,PY_Actual,Cur_Month+18)</f>
        <v>945.08</v>
      </c>
      <c r="O48" s="7">
        <f t="shared" si="43"/>
        <v>-0.22667922292292716</v>
      </c>
    </row>
    <row r="49" spans="1:16" hidden="1" outlineLevel="1" x14ac:dyDescent="0.25">
      <c r="A49" s="106">
        <v>44</v>
      </c>
      <c r="C49" s="1" t="s">
        <v>32</v>
      </c>
      <c r="E49" s="108">
        <f>VLOOKUP($A49,Cur_Actuals,Cur_Month+5)</f>
        <v>55.5</v>
      </c>
      <c r="F49" s="108">
        <f>VLOOKUP($A49,Cur_Budget,Cur_Month+5)</f>
        <v>25</v>
      </c>
      <c r="G49" s="7">
        <f t="shared" si="41"/>
        <v>1.22</v>
      </c>
      <c r="H49" s="123">
        <f>VLOOKUP($A49,PY_Actual,Cur_Month+5)</f>
        <v>-323.5</v>
      </c>
      <c r="I49" s="7">
        <f>IF(H49=0,"NA",(+E49-H49)/H49)</f>
        <v>-1.1715610510046368</v>
      </c>
      <c r="K49" s="108">
        <f>VLOOKUP($A49,Cur_Actuals,Cur_Month+18)</f>
        <v>248.5</v>
      </c>
      <c r="L49" s="108">
        <f>VLOOKUP($A49,Cur_Budget,Cur_Month+18)</f>
        <v>250</v>
      </c>
      <c r="M49" s="7">
        <f t="shared" si="42"/>
        <v>-6.0000000000000001E-3</v>
      </c>
      <c r="N49" s="123">
        <f>VLOOKUP($A49,PY_Actual,Cur_Month+18)</f>
        <v>115.57</v>
      </c>
      <c r="O49" s="7">
        <f t="shared" si="43"/>
        <v>1.1502119927316778</v>
      </c>
      <c r="P49" s="46" t="s">
        <v>134</v>
      </c>
    </row>
    <row r="50" spans="1:16" s="5" customFormat="1" collapsed="1" x14ac:dyDescent="0.25">
      <c r="A50" s="106">
        <v>45</v>
      </c>
      <c r="B50" s="51" t="s">
        <v>28</v>
      </c>
      <c r="C50" s="51"/>
      <c r="D50" s="51"/>
      <c r="E50" s="116">
        <f>SUM(E46:E49)</f>
        <v>685.15</v>
      </c>
      <c r="F50" s="116">
        <f>SUM(F46:F49)</f>
        <v>658.33</v>
      </c>
      <c r="G50" s="28">
        <f t="shared" si="41"/>
        <v>4.0739446782008921E-2</v>
      </c>
      <c r="H50" s="128">
        <f>SUM(H46:H49)</f>
        <v>805.89999999999986</v>
      </c>
      <c r="I50" s="28">
        <f>IF(H50=0,"NA",(+E50-H50)/H50)</f>
        <v>-0.14983248542002719</v>
      </c>
      <c r="K50" s="116">
        <f>SUM(K46:K49)</f>
        <v>6561.37</v>
      </c>
      <c r="L50" s="116">
        <f>SUM(L46:L49)</f>
        <v>6583.3</v>
      </c>
      <c r="M50" s="28">
        <f>IF(L50=0,"NA",(+K50-L50)/L50)</f>
        <v>-3.3311561071195737E-3</v>
      </c>
      <c r="N50" s="128">
        <f>SUM(N46:N49)</f>
        <v>7309.8599999999988</v>
      </c>
      <c r="O50" s="28">
        <f>IF(N50=0,"NA",(+K50-N50)/N50)</f>
        <v>-0.10239457390428805</v>
      </c>
      <c r="P50" s="14"/>
    </row>
    <row r="51" spans="1:16" ht="6.75" hidden="1" customHeight="1" outlineLevel="1" x14ac:dyDescent="0.25">
      <c r="A51" s="106">
        <v>46</v>
      </c>
      <c r="E51" s="110"/>
      <c r="F51" s="110"/>
      <c r="G51" s="66"/>
      <c r="H51" s="125"/>
      <c r="K51" s="110"/>
      <c r="L51" s="110"/>
      <c r="N51" s="125"/>
    </row>
    <row r="52" spans="1:16" hidden="1" outlineLevel="1" x14ac:dyDescent="0.25">
      <c r="A52" s="106">
        <v>47</v>
      </c>
      <c r="B52" s="5" t="s">
        <v>33</v>
      </c>
      <c r="E52" s="110"/>
      <c r="F52" s="110"/>
      <c r="G52" s="66"/>
      <c r="H52" s="125"/>
      <c r="K52" s="110"/>
      <c r="L52" s="110"/>
      <c r="N52" s="125"/>
    </row>
    <row r="53" spans="1:16" hidden="1" outlineLevel="1" x14ac:dyDescent="0.25">
      <c r="A53" s="106">
        <v>48</v>
      </c>
      <c r="C53" s="1" t="s">
        <v>34</v>
      </c>
      <c r="E53" s="108">
        <f>VLOOKUP($A53,Cur_Actuals,Cur_Month+5)</f>
        <v>0</v>
      </c>
      <c r="F53" s="108">
        <f>VLOOKUP($A53,Cur_Budget,Cur_Month+5)</f>
        <v>583.33000000000004</v>
      </c>
      <c r="G53" s="7">
        <f t="shared" ref="G53:G56" si="44">IF(F53=0,"NA",(+E53-F53)/F53)</f>
        <v>-1</v>
      </c>
      <c r="H53" s="123">
        <f>VLOOKUP($A53,PY_Actual,Cur_Month+5)</f>
        <v>749.53</v>
      </c>
      <c r="I53" s="7">
        <f>IF(H53=0,"NA",(+E53-H53)/H53)</f>
        <v>-1</v>
      </c>
      <c r="K53" s="108">
        <f>VLOOKUP($A53,Cur_Actuals,Cur_Month+18)</f>
        <v>2877.93</v>
      </c>
      <c r="L53" s="108">
        <f>VLOOKUP($A53,Cur_Budget,Cur_Month+18)</f>
        <v>5833.3</v>
      </c>
      <c r="M53" s="7">
        <f t="shared" ref="M53:M55" si="45">IF(L53=0,"NA",(+K53-L53)/L53)</f>
        <v>-0.50663775221572704</v>
      </c>
      <c r="N53" s="123">
        <f>VLOOKUP($A53,PY_Actual,Cur_Month+18)</f>
        <v>3354.21</v>
      </c>
      <c r="O53" s="7">
        <f t="shared" ref="O53:O55" si="46">IF(N53=0,"NA",(+K53-N53)/N53)</f>
        <v>-0.14199468727360548</v>
      </c>
    </row>
    <row r="54" spans="1:16" hidden="1" outlineLevel="1" x14ac:dyDescent="0.25">
      <c r="A54" s="106">
        <v>49</v>
      </c>
      <c r="C54" s="1" t="s">
        <v>143</v>
      </c>
      <c r="E54" s="108">
        <f>VLOOKUP($A54,Cur_Actuals,Cur_Month+5)</f>
        <v>0</v>
      </c>
      <c r="F54" s="108">
        <f>VLOOKUP($A54,Cur_Budget,Cur_Month+5)</f>
        <v>0</v>
      </c>
      <c r="G54" s="7" t="str">
        <f t="shared" si="44"/>
        <v>NA</v>
      </c>
      <c r="H54" s="123">
        <f>VLOOKUP($A54,PY_Actual,Cur_Month+5)</f>
        <v>0</v>
      </c>
      <c r="I54" s="7" t="str">
        <f>IF(H54=0,"NA",(+E54-H54)/H54)</f>
        <v>NA</v>
      </c>
      <c r="K54" s="108">
        <f>VLOOKUP($A54,Cur_Actuals,Cur_Month+18)</f>
        <v>0</v>
      </c>
      <c r="L54" s="108">
        <f>VLOOKUP($A54,Cur_Budget,Cur_Month+18)</f>
        <v>0</v>
      </c>
      <c r="M54" s="7" t="str">
        <f t="shared" si="45"/>
        <v>NA</v>
      </c>
      <c r="N54" s="123">
        <f>VLOOKUP($A54,PY_Actual,Cur_Month+18)</f>
        <v>0</v>
      </c>
      <c r="O54" s="7" t="str">
        <f t="shared" si="46"/>
        <v>NA</v>
      </c>
    </row>
    <row r="55" spans="1:16" hidden="1" outlineLevel="1" x14ac:dyDescent="0.25">
      <c r="A55" s="106">
        <v>50</v>
      </c>
      <c r="C55" s="1" t="s">
        <v>146</v>
      </c>
      <c r="E55" s="108">
        <f>VLOOKUP($A55,Cur_Actuals,Cur_Month+5)</f>
        <v>0</v>
      </c>
      <c r="F55" s="108">
        <f>VLOOKUP($A55,Cur_Budget,Cur_Month+5)</f>
        <v>0</v>
      </c>
      <c r="G55" s="7" t="str">
        <f t="shared" si="44"/>
        <v>NA</v>
      </c>
      <c r="H55" s="123">
        <f>VLOOKUP($A55,PY_Actual,Cur_Month+5)</f>
        <v>0</v>
      </c>
      <c r="I55" s="7" t="str">
        <f>IF(H55=0,"NA",(+E55-H55)/H55)</f>
        <v>NA</v>
      </c>
      <c r="K55" s="108">
        <f>VLOOKUP($A55,Cur_Actuals,Cur_Month+18)</f>
        <v>0</v>
      </c>
      <c r="L55" s="108">
        <f>VLOOKUP($A55,Cur_Budget,Cur_Month+18)</f>
        <v>0</v>
      </c>
      <c r="M55" s="7" t="str">
        <f t="shared" si="45"/>
        <v>NA</v>
      </c>
      <c r="N55" s="123">
        <f>VLOOKUP($A55,PY_Actual,Cur_Month+18)</f>
        <v>0</v>
      </c>
      <c r="O55" s="7" t="str">
        <f t="shared" si="46"/>
        <v>NA</v>
      </c>
      <c r="P55" s="46" t="s">
        <v>131</v>
      </c>
    </row>
    <row r="56" spans="1:16" s="5" customFormat="1" collapsed="1" x14ac:dyDescent="0.25">
      <c r="A56" s="106">
        <v>51</v>
      </c>
      <c r="B56" s="51" t="s">
        <v>35</v>
      </c>
      <c r="C56" s="51"/>
      <c r="D56" s="51"/>
      <c r="E56" s="116">
        <f>SUM(E53:E55)</f>
        <v>0</v>
      </c>
      <c r="F56" s="116">
        <f>SUM(F53:F55)</f>
        <v>583.33000000000004</v>
      </c>
      <c r="G56" s="28">
        <f t="shared" si="44"/>
        <v>-1</v>
      </c>
      <c r="H56" s="128">
        <f>SUM(H53:H55)</f>
        <v>749.53</v>
      </c>
      <c r="I56" s="28">
        <f>IF(H56=0,"NA",(+E56-H56)/H56)</f>
        <v>-1</v>
      </c>
      <c r="K56" s="116">
        <f>SUM(K53:K55)</f>
        <v>2877.93</v>
      </c>
      <c r="L56" s="116">
        <f>SUM(L53:L55)</f>
        <v>5833.3</v>
      </c>
      <c r="M56" s="28">
        <f>IF(L56=0,"NA",(+K56-L56)/L56)</f>
        <v>-0.50663775221572704</v>
      </c>
      <c r="N56" s="128">
        <f>SUM(N53:N55)</f>
        <v>3354.21</v>
      </c>
      <c r="O56" s="28">
        <f>IF(N56=0,"NA",(+K56-N56)/N56)</f>
        <v>-0.14199468727360548</v>
      </c>
      <c r="P56" s="14"/>
    </row>
    <row r="57" spans="1:16" ht="6.75" hidden="1" customHeight="1" outlineLevel="1" x14ac:dyDescent="0.25">
      <c r="A57" s="106">
        <v>52</v>
      </c>
      <c r="E57" s="110"/>
      <c r="F57" s="110"/>
      <c r="G57" s="66"/>
      <c r="H57" s="125"/>
      <c r="K57" s="110"/>
      <c r="L57" s="110"/>
      <c r="N57" s="125"/>
    </row>
    <row r="58" spans="1:16" hidden="1" outlineLevel="1" x14ac:dyDescent="0.25">
      <c r="A58" s="106">
        <v>53</v>
      </c>
      <c r="B58" s="5" t="s">
        <v>141</v>
      </c>
      <c r="E58" s="110"/>
      <c r="F58" s="110"/>
      <c r="G58" s="66"/>
      <c r="H58" s="125"/>
      <c r="K58" s="110"/>
      <c r="L58" s="110"/>
      <c r="N58" s="125"/>
    </row>
    <row r="59" spans="1:16" hidden="1" outlineLevel="1" x14ac:dyDescent="0.25">
      <c r="A59" s="106">
        <v>54</v>
      </c>
      <c r="C59" s="1" t="s">
        <v>144</v>
      </c>
      <c r="E59" s="108">
        <f>VLOOKUP($A59,Cur_Actuals,Cur_Month+5)</f>
        <v>0</v>
      </c>
      <c r="F59" s="108">
        <f>VLOOKUP($A59,Cur_Budget,Cur_Month+5)</f>
        <v>25</v>
      </c>
      <c r="G59" s="7">
        <f t="shared" ref="G59:G61" si="47">IF(F59=0,"NA",(+E59-F59)/F59)</f>
        <v>-1</v>
      </c>
      <c r="H59" s="123">
        <f>VLOOKUP($A59,PY_Actual,Cur_Month+5)</f>
        <v>0</v>
      </c>
      <c r="I59" s="7" t="str">
        <f>IF(H59=0,"NA",(+E59-H59)/H59)</f>
        <v>NA</v>
      </c>
      <c r="K59" s="108">
        <f>VLOOKUP($A59,Cur_Actuals,Cur_Month+18)</f>
        <v>-39.270000000000003</v>
      </c>
      <c r="L59" s="108">
        <f>VLOOKUP($A59,Cur_Budget,Cur_Month+18)</f>
        <v>250</v>
      </c>
      <c r="M59" s="7">
        <f t="shared" ref="M59:M60" si="48">IF(L59=0,"NA",(+K59-L59)/L59)</f>
        <v>-1.1570799999999999</v>
      </c>
      <c r="N59" s="123">
        <f>VLOOKUP($A59,PY_Actual,Cur_Month+18)</f>
        <v>524.92999999999995</v>
      </c>
      <c r="O59" s="7">
        <f t="shared" ref="O59:O60" si="49">IF(N59=0,"NA",(+K59-N59)/N59)</f>
        <v>-1.0748099746632884</v>
      </c>
    </row>
    <row r="60" spans="1:16" hidden="1" outlineLevel="1" x14ac:dyDescent="0.25">
      <c r="A60" s="106">
        <v>55</v>
      </c>
      <c r="C60" s="1" t="s">
        <v>128</v>
      </c>
      <c r="E60" s="108">
        <f>VLOOKUP($A60,Cur_Actuals,Cur_Month+5)</f>
        <v>204.46000000000004</v>
      </c>
      <c r="F60" s="108">
        <f>VLOOKUP($A60,Cur_Budget,Cur_Month+5)</f>
        <v>33.33</v>
      </c>
      <c r="G60" s="7">
        <f t="shared" si="47"/>
        <v>5.1344134413441367</v>
      </c>
      <c r="H60" s="123">
        <f>VLOOKUP($A60,PY_Actual,Cur_Month+5)</f>
        <v>-50</v>
      </c>
      <c r="I60" s="7">
        <f>IF(H60=0,"NA",(+E60-H60)/H60)</f>
        <v>-5.0892000000000008</v>
      </c>
      <c r="K60" s="108">
        <f>VLOOKUP($A60,Cur_Actuals,Cur_Month+18)</f>
        <v>1050.23</v>
      </c>
      <c r="L60" s="108">
        <f>VLOOKUP($A60,Cur_Budget,Cur_Month+18)</f>
        <v>333.2999999999999</v>
      </c>
      <c r="M60" s="7">
        <f t="shared" si="48"/>
        <v>2.1510051005100519</v>
      </c>
      <c r="N60" s="123">
        <f>VLOOKUP($A60,PY_Actual,Cur_Month+18)</f>
        <v>228.62</v>
      </c>
      <c r="O60" s="7">
        <f t="shared" si="49"/>
        <v>3.5937800717347566</v>
      </c>
      <c r="P60" s="46" t="s">
        <v>133</v>
      </c>
    </row>
    <row r="61" spans="1:16" s="5" customFormat="1" collapsed="1" x14ac:dyDescent="0.25">
      <c r="A61" s="106">
        <v>56</v>
      </c>
      <c r="B61" s="51" t="s">
        <v>127</v>
      </c>
      <c r="C61" s="51"/>
      <c r="D61" s="51"/>
      <c r="E61" s="116">
        <f>SUM(E59:E60)</f>
        <v>204.46000000000004</v>
      </c>
      <c r="F61" s="116">
        <f>SUM(F59:F60)</f>
        <v>58.33</v>
      </c>
      <c r="G61" s="28">
        <f t="shared" si="47"/>
        <v>2.5052288702211563</v>
      </c>
      <c r="H61" s="128">
        <f>SUM(H59:H60)</f>
        <v>-50</v>
      </c>
      <c r="I61" s="28">
        <f>IF(H61=0,"NA",(+E61-H61)/H61)</f>
        <v>-5.0892000000000008</v>
      </c>
      <c r="K61" s="116">
        <f>SUM(K59:K60)</f>
        <v>1010.96</v>
      </c>
      <c r="L61" s="116">
        <f>SUM(L59:L60)</f>
        <v>583.29999999999995</v>
      </c>
      <c r="M61" s="28">
        <f>IF(L61=0,"NA",(+K61-L61)/L61)</f>
        <v>0.73317332418995396</v>
      </c>
      <c r="N61" s="128">
        <f>SUM(N59:N60)</f>
        <v>753.55</v>
      </c>
      <c r="O61" s="28">
        <f>IF(N61=0,"NA",(+K61-N61)/N61)</f>
        <v>0.34159644350076318</v>
      </c>
      <c r="P61" s="14"/>
    </row>
    <row r="62" spans="1:16" ht="5.25" hidden="1" customHeight="1" outlineLevel="2" x14ac:dyDescent="0.25">
      <c r="A62" s="106">
        <v>57</v>
      </c>
      <c r="E62" s="110"/>
      <c r="F62" s="110"/>
      <c r="G62" s="66"/>
      <c r="H62" s="125"/>
      <c r="K62" s="110"/>
      <c r="L62" s="110"/>
      <c r="N62" s="125"/>
    </row>
    <row r="63" spans="1:16" collapsed="1" x14ac:dyDescent="0.25">
      <c r="A63" s="106">
        <v>58</v>
      </c>
      <c r="B63" s="51" t="s">
        <v>36</v>
      </c>
      <c r="C63" s="30"/>
      <c r="D63" s="30"/>
      <c r="E63" s="117">
        <f>VLOOKUP($A63,Cur_Actuals,Cur_Month+5)</f>
        <v>0</v>
      </c>
      <c r="F63" s="117">
        <f>VLOOKUP($A63,Cur_Budget,Cur_Month+5)</f>
        <v>16.670000000000002</v>
      </c>
      <c r="G63" s="28">
        <f>IF(F63=0,"NA",(+E63-F63)/F63)</f>
        <v>-1</v>
      </c>
      <c r="H63" s="129">
        <f>VLOOKUP($A63,PY_Actual,Cur_Month+5)</f>
        <v>0</v>
      </c>
      <c r="I63" s="28" t="str">
        <f>IF(H63=0,"NA",(+E63-H63)/H63)</f>
        <v>NA</v>
      </c>
      <c r="K63" s="117">
        <f>VLOOKUP($A63,Cur_Actuals,Cur_Month+18)</f>
        <v>240</v>
      </c>
      <c r="L63" s="117">
        <f>VLOOKUP($A63,Cur_Budget,Cur_Month+18)</f>
        <v>166.70000000000005</v>
      </c>
      <c r="M63" s="154">
        <f t="shared" ref="M63" si="50">IF(L63=0,"NA",(+K63-L63)/L63)</f>
        <v>0.43971205758848192</v>
      </c>
      <c r="N63" s="129">
        <f>VLOOKUP($A63,PY_Actual,Cur_Month+18)</f>
        <v>223.73</v>
      </c>
      <c r="O63" s="154">
        <f t="shared" ref="O63" si="51">IF(N63=0,"NA",(+K63-N63)/N63)</f>
        <v>7.2721584052205829E-2</v>
      </c>
    </row>
    <row r="64" spans="1:16" ht="6" hidden="1" customHeight="1" outlineLevel="1" x14ac:dyDescent="0.25">
      <c r="A64" s="106">
        <v>59</v>
      </c>
      <c r="E64" s="110"/>
      <c r="F64" s="110"/>
      <c r="G64" s="66"/>
      <c r="H64" s="125"/>
      <c r="K64" s="110"/>
      <c r="L64" s="110"/>
      <c r="N64" s="125"/>
    </row>
    <row r="65" spans="1:16" hidden="1" outlineLevel="1" x14ac:dyDescent="0.25">
      <c r="A65" s="106">
        <v>60</v>
      </c>
      <c r="B65" s="5" t="s">
        <v>37</v>
      </c>
      <c r="E65" s="110"/>
      <c r="F65" s="110"/>
      <c r="G65" s="66"/>
      <c r="H65" s="125"/>
      <c r="K65" s="110"/>
      <c r="L65" s="110"/>
      <c r="N65" s="125"/>
    </row>
    <row r="66" spans="1:16" hidden="1" outlineLevel="1" x14ac:dyDescent="0.25">
      <c r="A66" s="106">
        <v>61</v>
      </c>
      <c r="C66" s="1" t="s">
        <v>38</v>
      </c>
      <c r="E66" s="108">
        <f>VLOOKUP($A66,Cur_Actuals,Cur_Month+5)</f>
        <v>0</v>
      </c>
      <c r="F66" s="108">
        <f>VLOOKUP($A66,Cur_Budget,Cur_Month+5)</f>
        <v>150</v>
      </c>
      <c r="G66" s="7">
        <f t="shared" ref="G66:G71" si="52">IF(F66=0,"NA",(+E66-F66)/F66)</f>
        <v>-1</v>
      </c>
      <c r="H66" s="123">
        <f>VLOOKUP($A66,PY_Actual,Cur_Month+5)</f>
        <v>0</v>
      </c>
      <c r="I66" s="7" t="str">
        <f t="shared" ref="I66:I71" si="53">IF(H66=0,"NA",(+E66-H66)/H66)</f>
        <v>NA</v>
      </c>
      <c r="K66" s="108">
        <f>VLOOKUP($A66,Cur_Actuals,Cur_Month+18)</f>
        <v>99.95</v>
      </c>
      <c r="L66" s="108">
        <f>VLOOKUP($A66,Cur_Budget,Cur_Month+18)</f>
        <v>150</v>
      </c>
      <c r="M66" s="7">
        <f t="shared" ref="M66:M70" si="54">IF(L66=0,"NA",(+K66-L66)/L66)</f>
        <v>-0.33366666666666667</v>
      </c>
      <c r="N66" s="123">
        <f>VLOOKUP($A66,PY_Actual,Cur_Month+18)</f>
        <v>0</v>
      </c>
      <c r="O66" s="7" t="str">
        <f t="shared" ref="O66:O70" si="55">IF(N66=0,"NA",(+K66-N66)/N66)</f>
        <v>NA</v>
      </c>
    </row>
    <row r="67" spans="1:16" hidden="1" outlineLevel="1" x14ac:dyDescent="0.25">
      <c r="A67" s="106">
        <v>62</v>
      </c>
      <c r="C67" s="1" t="s">
        <v>39</v>
      </c>
      <c r="E67" s="108">
        <f>VLOOKUP($A67,Cur_Actuals,Cur_Month+5)</f>
        <v>0</v>
      </c>
      <c r="F67" s="108">
        <f>VLOOKUP($A67,Cur_Budget,Cur_Month+5)</f>
        <v>1000</v>
      </c>
      <c r="G67" s="7">
        <f t="shared" si="52"/>
        <v>-1</v>
      </c>
      <c r="H67" s="123">
        <f>VLOOKUP($A67,PY_Actual,Cur_Month+5)</f>
        <v>948.86</v>
      </c>
      <c r="I67" s="7">
        <f t="shared" si="53"/>
        <v>-1</v>
      </c>
      <c r="K67" s="108">
        <f>VLOOKUP($A67,Cur_Actuals,Cur_Month+18)</f>
        <v>0</v>
      </c>
      <c r="L67" s="108">
        <f>VLOOKUP($A67,Cur_Budget,Cur_Month+18)</f>
        <v>1000</v>
      </c>
      <c r="M67" s="7">
        <f t="shared" si="54"/>
        <v>-1</v>
      </c>
      <c r="N67" s="123">
        <f>VLOOKUP($A67,PY_Actual,Cur_Month+18)</f>
        <v>948.86</v>
      </c>
      <c r="O67" s="7">
        <f t="shared" si="55"/>
        <v>-1</v>
      </c>
    </row>
    <row r="68" spans="1:16" hidden="1" outlineLevel="1" x14ac:dyDescent="0.25">
      <c r="A68" s="106">
        <v>63</v>
      </c>
      <c r="C68" s="1" t="s">
        <v>40</v>
      </c>
      <c r="E68" s="108">
        <f>VLOOKUP($A68,Cur_Actuals,Cur_Month+5)</f>
        <v>0</v>
      </c>
      <c r="F68" s="108">
        <f>VLOOKUP($A68,Cur_Budget,Cur_Month+5)</f>
        <v>0</v>
      </c>
      <c r="G68" s="7" t="str">
        <f t="shared" si="52"/>
        <v>NA</v>
      </c>
      <c r="H68" s="123">
        <f>VLOOKUP($A68,PY_Actual,Cur_Month+5)</f>
        <v>0</v>
      </c>
      <c r="I68" s="7" t="str">
        <f t="shared" si="53"/>
        <v>NA</v>
      </c>
      <c r="K68" s="108">
        <f>VLOOKUP($A68,Cur_Actuals,Cur_Month+18)</f>
        <v>950.96</v>
      </c>
      <c r="L68" s="108">
        <f>VLOOKUP($A68,Cur_Budget,Cur_Month+18)</f>
        <v>700</v>
      </c>
      <c r="M68" s="7">
        <f t="shared" si="54"/>
        <v>0.35851428571428579</v>
      </c>
      <c r="N68" s="123">
        <f>VLOOKUP($A68,PY_Actual,Cur_Month+18)</f>
        <v>1020</v>
      </c>
      <c r="O68" s="7">
        <f t="shared" si="55"/>
        <v>-6.7686274509803884E-2</v>
      </c>
    </row>
    <row r="69" spans="1:16" hidden="1" outlineLevel="1" x14ac:dyDescent="0.25">
      <c r="A69" s="106">
        <v>64</v>
      </c>
      <c r="C69" s="1" t="s">
        <v>41</v>
      </c>
      <c r="E69" s="108">
        <f>VLOOKUP($A69,Cur_Actuals,Cur_Month+5)</f>
        <v>19.95</v>
      </c>
      <c r="F69" s="108">
        <f>VLOOKUP($A69,Cur_Budget,Cur_Month+5)</f>
        <v>50</v>
      </c>
      <c r="G69" s="7">
        <f t="shared" si="52"/>
        <v>-0.60099999999999998</v>
      </c>
      <c r="H69" s="123">
        <f>VLOOKUP($A69,PY_Actual,Cur_Month+5)</f>
        <v>0</v>
      </c>
      <c r="I69" s="7" t="str">
        <f t="shared" si="53"/>
        <v>NA</v>
      </c>
      <c r="K69" s="108">
        <f>VLOOKUP($A69,Cur_Actuals,Cur_Month+18)</f>
        <v>-117.80999999999999</v>
      </c>
      <c r="L69" s="108">
        <f>VLOOKUP($A69,Cur_Budget,Cur_Month+18)</f>
        <v>500</v>
      </c>
      <c r="M69" s="7">
        <f t="shared" si="54"/>
        <v>-1.2356199999999999</v>
      </c>
      <c r="N69" s="123">
        <f>VLOOKUP($A69,PY_Actual,Cur_Month+18)</f>
        <v>0</v>
      </c>
      <c r="O69" s="7" t="str">
        <f t="shared" si="55"/>
        <v>NA</v>
      </c>
    </row>
    <row r="70" spans="1:16" hidden="1" outlineLevel="1" x14ac:dyDescent="0.25">
      <c r="A70" s="106">
        <v>65</v>
      </c>
      <c r="C70" s="1" t="s">
        <v>42</v>
      </c>
      <c r="E70" s="108">
        <f>VLOOKUP($A70,Cur_Actuals,Cur_Month+5)</f>
        <v>0</v>
      </c>
      <c r="F70" s="108">
        <f>VLOOKUP($A70,Cur_Budget,Cur_Month+5)</f>
        <v>66.67</v>
      </c>
      <c r="G70" s="7">
        <f t="shared" si="52"/>
        <v>-1</v>
      </c>
      <c r="H70" s="123">
        <f>VLOOKUP($A70,PY_Actual,Cur_Month+5)</f>
        <v>0</v>
      </c>
      <c r="I70" s="7" t="str">
        <f t="shared" si="53"/>
        <v>NA</v>
      </c>
      <c r="K70" s="108">
        <f>VLOOKUP($A70,Cur_Actuals,Cur_Month+18)</f>
        <v>0</v>
      </c>
      <c r="L70" s="108">
        <f>VLOOKUP($A70,Cur_Budget,Cur_Month+18)</f>
        <v>666.69999999999993</v>
      </c>
      <c r="M70" s="7">
        <f t="shared" si="54"/>
        <v>-1</v>
      </c>
      <c r="N70" s="123">
        <f>VLOOKUP($A70,PY_Actual,Cur_Month+18)</f>
        <v>0</v>
      </c>
      <c r="O70" s="7" t="str">
        <f t="shared" si="55"/>
        <v>NA</v>
      </c>
    </row>
    <row r="71" spans="1:16" s="5" customFormat="1" collapsed="1" x14ac:dyDescent="0.25">
      <c r="A71" s="106">
        <v>66</v>
      </c>
      <c r="B71" s="51" t="s">
        <v>43</v>
      </c>
      <c r="C71" s="51"/>
      <c r="D71" s="51"/>
      <c r="E71" s="116">
        <f>SUM(E66:E70)</f>
        <v>19.95</v>
      </c>
      <c r="F71" s="116">
        <f>SUM(F66:F70)</f>
        <v>1266.67</v>
      </c>
      <c r="G71" s="28">
        <f t="shared" si="52"/>
        <v>-0.98425004144725936</v>
      </c>
      <c r="H71" s="128">
        <f>SUM(H66:H70)</f>
        <v>948.86</v>
      </c>
      <c r="I71" s="28">
        <f t="shared" si="53"/>
        <v>-0.97897476972366837</v>
      </c>
      <c r="K71" s="116">
        <f>SUM(K66:K70)</f>
        <v>933.10000000000014</v>
      </c>
      <c r="L71" s="116">
        <f>SUM(L66:L70)</f>
        <v>3016.7</v>
      </c>
      <c r="M71" s="28">
        <f t="shared" ref="M71" si="56">IF(L71=0,"NA",(+K71-L71)/L71)</f>
        <v>-0.69068850067955034</v>
      </c>
      <c r="N71" s="128">
        <f>SUM(N66:N70)</f>
        <v>1968.8600000000001</v>
      </c>
      <c r="O71" s="28">
        <f t="shared" ref="O71" si="57">IF(N71=0,"NA",(+K71-N71)/N71)</f>
        <v>-0.52607092429121416</v>
      </c>
      <c r="P71" s="14"/>
    </row>
    <row r="72" spans="1:16" ht="6" hidden="1" customHeight="1" outlineLevel="1" x14ac:dyDescent="0.25">
      <c r="A72" s="106">
        <v>67</v>
      </c>
      <c r="E72" s="110"/>
      <c r="F72" s="110"/>
      <c r="G72" s="66"/>
      <c r="H72" s="125"/>
      <c r="K72" s="110"/>
      <c r="L72" s="110"/>
      <c r="N72" s="125"/>
    </row>
    <row r="73" spans="1:16" hidden="1" outlineLevel="1" x14ac:dyDescent="0.25">
      <c r="A73" s="106">
        <v>68</v>
      </c>
      <c r="B73" s="5" t="s">
        <v>44</v>
      </c>
      <c r="E73" s="110"/>
      <c r="F73" s="110"/>
      <c r="G73" s="66"/>
      <c r="H73" s="125"/>
      <c r="K73" s="110"/>
      <c r="L73" s="110"/>
      <c r="N73" s="125"/>
    </row>
    <row r="74" spans="1:16" hidden="1" outlineLevel="1" x14ac:dyDescent="0.25">
      <c r="A74" s="106">
        <v>69</v>
      </c>
      <c r="C74" s="1" t="s">
        <v>45</v>
      </c>
      <c r="E74" s="108">
        <f t="shared" ref="E74:E80" si="58">VLOOKUP($A74,Cur_Actuals,Cur_Month+5)</f>
        <v>367.86999999999989</v>
      </c>
      <c r="F74" s="108">
        <f t="shared" ref="F74:F80" si="59">VLOOKUP($A74,Cur_Budget,Cur_Month+5)</f>
        <v>458.33</v>
      </c>
      <c r="G74" s="7">
        <f t="shared" ref="G74:G82" si="60">IF(F74=0,"NA",(+E74-F74)/F74)</f>
        <v>-0.19736870813605939</v>
      </c>
      <c r="H74" s="123">
        <f t="shared" ref="H74:H80" si="61">VLOOKUP($A74,PY_Actual,Cur_Month+5)</f>
        <v>846.41</v>
      </c>
      <c r="I74" s="7">
        <f t="shared" ref="I74:I82" si="62">IF(H74=0,"NA",(+E74-H74)/H74)</f>
        <v>-0.56537611795701859</v>
      </c>
      <c r="K74" s="108">
        <f t="shared" ref="K74:K80" si="63">VLOOKUP($A74,Cur_Actuals,Cur_Month+18)</f>
        <v>4148.04</v>
      </c>
      <c r="L74" s="108">
        <f t="shared" ref="L74:L80" si="64">VLOOKUP($A74,Cur_Budget,Cur_Month+18)</f>
        <v>4583.3</v>
      </c>
      <c r="M74" s="7">
        <f t="shared" ref="M74:M80" si="65">IF(L74=0,"NA",(+K74-L74)/L74)</f>
        <v>-9.4966508847337122E-2</v>
      </c>
      <c r="N74" s="123">
        <f t="shared" ref="N74:N80" si="66">VLOOKUP($A74,PY_Actual,Cur_Month+18)</f>
        <v>4162.8600000000006</v>
      </c>
      <c r="O74" s="7">
        <f t="shared" ref="O74:O80" si="67">IF(N74=0,"NA",(+K74-N74)/N74)</f>
        <v>-3.5600524639311953E-3</v>
      </c>
    </row>
    <row r="75" spans="1:16" hidden="1" outlineLevel="1" x14ac:dyDescent="0.25">
      <c r="A75" s="106">
        <v>70</v>
      </c>
      <c r="C75" s="1" t="s">
        <v>46</v>
      </c>
      <c r="E75" s="108">
        <f t="shared" si="58"/>
        <v>1100.5999999999999</v>
      </c>
      <c r="F75" s="108">
        <f t="shared" si="59"/>
        <v>416.67</v>
      </c>
      <c r="G75" s="7">
        <f t="shared" si="60"/>
        <v>1.6414188686490503</v>
      </c>
      <c r="H75" s="123">
        <f t="shared" si="61"/>
        <v>1179</v>
      </c>
      <c r="I75" s="7">
        <f t="shared" si="62"/>
        <v>-6.6497031382527647E-2</v>
      </c>
      <c r="K75" s="108">
        <f t="shared" si="63"/>
        <v>3978.22</v>
      </c>
      <c r="L75" s="108">
        <f t="shared" si="64"/>
        <v>4166.7</v>
      </c>
      <c r="M75" s="7">
        <f t="shared" si="65"/>
        <v>-4.5234838121295036E-2</v>
      </c>
      <c r="N75" s="123">
        <f t="shared" si="66"/>
        <v>4481.5</v>
      </c>
      <c r="O75" s="7">
        <f t="shared" si="67"/>
        <v>-0.11230168470378225</v>
      </c>
    </row>
    <row r="76" spans="1:16" hidden="1" outlineLevel="1" x14ac:dyDescent="0.25">
      <c r="A76" s="106">
        <v>71</v>
      </c>
      <c r="C76" s="1" t="s">
        <v>145</v>
      </c>
      <c r="E76" s="108">
        <f t="shared" si="58"/>
        <v>0</v>
      </c>
      <c r="F76" s="108">
        <f t="shared" si="59"/>
        <v>41.67</v>
      </c>
      <c r="G76" s="7">
        <f t="shared" si="60"/>
        <v>-1</v>
      </c>
      <c r="H76" s="123">
        <f t="shared" si="61"/>
        <v>0</v>
      </c>
      <c r="I76" s="7" t="str">
        <f t="shared" si="62"/>
        <v>NA</v>
      </c>
      <c r="K76" s="108">
        <f t="shared" si="63"/>
        <v>632.45000000000005</v>
      </c>
      <c r="L76" s="108">
        <f t="shared" si="64"/>
        <v>416.7000000000001</v>
      </c>
      <c r="M76" s="7">
        <f t="shared" si="65"/>
        <v>0.51775857931365465</v>
      </c>
      <c r="N76" s="123">
        <f t="shared" si="66"/>
        <v>168</v>
      </c>
      <c r="O76" s="7">
        <f t="shared" si="67"/>
        <v>2.7645833333333334</v>
      </c>
    </row>
    <row r="77" spans="1:16" hidden="1" outlineLevel="1" x14ac:dyDescent="0.25">
      <c r="A77" s="106">
        <v>72</v>
      </c>
      <c r="C77" s="1" t="s">
        <v>47</v>
      </c>
      <c r="E77" s="108">
        <f t="shared" si="58"/>
        <v>0</v>
      </c>
      <c r="F77" s="108">
        <f t="shared" si="59"/>
        <v>0</v>
      </c>
      <c r="G77" s="7" t="str">
        <f t="shared" si="60"/>
        <v>NA</v>
      </c>
      <c r="H77" s="123">
        <f t="shared" si="61"/>
        <v>0</v>
      </c>
      <c r="I77" s="7" t="str">
        <f t="shared" si="62"/>
        <v>NA</v>
      </c>
      <c r="K77" s="108">
        <f t="shared" si="63"/>
        <v>0</v>
      </c>
      <c r="L77" s="108">
        <f t="shared" si="64"/>
        <v>0</v>
      </c>
      <c r="M77" s="7" t="str">
        <f t="shared" si="65"/>
        <v>NA</v>
      </c>
      <c r="N77" s="123">
        <f t="shared" si="66"/>
        <v>379.5</v>
      </c>
      <c r="O77" s="7">
        <f t="shared" si="67"/>
        <v>-1</v>
      </c>
    </row>
    <row r="78" spans="1:16" hidden="1" outlineLevel="1" x14ac:dyDescent="0.25">
      <c r="A78" s="106">
        <v>73</v>
      </c>
      <c r="C78" s="1" t="s">
        <v>48</v>
      </c>
      <c r="E78" s="108">
        <f t="shared" si="58"/>
        <v>1937.2700000000004</v>
      </c>
      <c r="F78" s="108">
        <f t="shared" si="59"/>
        <v>1416.67</v>
      </c>
      <c r="G78" s="7">
        <f t="shared" si="60"/>
        <v>0.36748148827885135</v>
      </c>
      <c r="H78" s="123">
        <f t="shared" si="61"/>
        <v>2162.2800000000002</v>
      </c>
      <c r="I78" s="7">
        <f t="shared" si="62"/>
        <v>-0.10406145365077592</v>
      </c>
      <c r="K78" s="108">
        <f t="shared" si="63"/>
        <v>15988.25</v>
      </c>
      <c r="L78" s="108">
        <f t="shared" si="64"/>
        <v>14166.7</v>
      </c>
      <c r="M78" s="7">
        <f t="shared" si="65"/>
        <v>0.12857969745953532</v>
      </c>
      <c r="N78" s="123">
        <f t="shared" si="66"/>
        <v>15590.499999999998</v>
      </c>
      <c r="O78" s="7">
        <f t="shared" si="67"/>
        <v>2.5512331227350107E-2</v>
      </c>
    </row>
    <row r="79" spans="1:16" hidden="1" outlineLevel="1" x14ac:dyDescent="0.25">
      <c r="A79" s="106">
        <v>74</v>
      </c>
      <c r="C79" s="1" t="s">
        <v>49</v>
      </c>
      <c r="E79" s="108">
        <f t="shared" si="58"/>
        <v>17.839999999999918</v>
      </c>
      <c r="F79" s="108">
        <f t="shared" si="59"/>
        <v>68.75</v>
      </c>
      <c r="G79" s="7">
        <f t="shared" si="60"/>
        <v>-0.74050909090909212</v>
      </c>
      <c r="H79" s="123">
        <f t="shared" si="61"/>
        <v>189.2</v>
      </c>
      <c r="I79" s="7">
        <f t="shared" si="62"/>
        <v>-0.90570824524312943</v>
      </c>
      <c r="K79" s="108">
        <f t="shared" si="63"/>
        <v>806.03</v>
      </c>
      <c r="L79" s="108">
        <f t="shared" si="64"/>
        <v>687.5</v>
      </c>
      <c r="M79" s="7">
        <f t="shared" si="65"/>
        <v>0.17240727272727269</v>
      </c>
      <c r="N79" s="123">
        <f t="shared" si="66"/>
        <v>463.90999999999997</v>
      </c>
      <c r="O79" s="7">
        <f t="shared" si="67"/>
        <v>0.73747063007911018</v>
      </c>
    </row>
    <row r="80" spans="1:16" hidden="1" outlineLevel="1" x14ac:dyDescent="0.25">
      <c r="A80" s="106">
        <v>75</v>
      </c>
      <c r="C80" s="1" t="s">
        <v>50</v>
      </c>
      <c r="E80" s="108">
        <f t="shared" si="58"/>
        <v>120.94999999999982</v>
      </c>
      <c r="F80" s="108">
        <f t="shared" si="59"/>
        <v>125</v>
      </c>
      <c r="G80" s="7">
        <f t="shared" si="60"/>
        <v>-3.2400000000001455E-2</v>
      </c>
      <c r="H80" s="123">
        <f t="shared" si="61"/>
        <v>108.74</v>
      </c>
      <c r="I80" s="7">
        <f t="shared" si="62"/>
        <v>0.11228618723560625</v>
      </c>
      <c r="K80" s="108">
        <f t="shared" si="63"/>
        <v>1376.86</v>
      </c>
      <c r="L80" s="108">
        <f t="shared" si="64"/>
        <v>1250</v>
      </c>
      <c r="M80" s="7">
        <f t="shared" si="65"/>
        <v>0.10148799999999993</v>
      </c>
      <c r="N80" s="123">
        <f t="shared" si="66"/>
        <v>1176.1099999999999</v>
      </c>
      <c r="O80" s="7">
        <f t="shared" si="67"/>
        <v>0.17068981642873543</v>
      </c>
    </row>
    <row r="81" spans="1:16" s="5" customFormat="1" collapsed="1" x14ac:dyDescent="0.25">
      <c r="A81" s="106">
        <v>76</v>
      </c>
      <c r="B81" s="51" t="s">
        <v>53</v>
      </c>
      <c r="C81" s="51"/>
      <c r="D81" s="51"/>
      <c r="E81" s="116">
        <f>SUM(E74:E80)</f>
        <v>3544.5299999999997</v>
      </c>
      <c r="F81" s="116">
        <f>SUM(F74:F80)</f>
        <v>2527.09</v>
      </c>
      <c r="G81" s="28">
        <f t="shared" si="60"/>
        <v>0.40261328247114253</v>
      </c>
      <c r="H81" s="128">
        <f>SUM(H74:H80)</f>
        <v>4485.63</v>
      </c>
      <c r="I81" s="28">
        <f t="shared" si="62"/>
        <v>-0.20980330522134022</v>
      </c>
      <c r="K81" s="116">
        <f>SUM(K74:K80)</f>
        <v>26929.85</v>
      </c>
      <c r="L81" s="116">
        <f>SUM(L74:L80)</f>
        <v>25270.9</v>
      </c>
      <c r="M81" s="28">
        <f t="shared" ref="M81:M82" si="68">IF(L81=0,"NA",(+K81-L81)/L81)</f>
        <v>6.5646652869505911E-2</v>
      </c>
      <c r="N81" s="128">
        <f>SUM(N74:N80)</f>
        <v>26422.38</v>
      </c>
      <c r="O81" s="28">
        <f t="shared" ref="O81:O82" si="69">IF(N81=0,"NA",(+K81-N81)/N81)</f>
        <v>1.9206066978069255E-2</v>
      </c>
      <c r="P81" s="14"/>
    </row>
    <row r="82" spans="1:16" x14ac:dyDescent="0.25">
      <c r="A82" s="106">
        <v>77</v>
      </c>
      <c r="B82" s="51" t="s">
        <v>126</v>
      </c>
      <c r="C82" s="32"/>
      <c r="D82" s="32"/>
      <c r="E82" s="116">
        <f>+E41+E43+E50+E56+E63+E71+E81+E61</f>
        <v>6245.61</v>
      </c>
      <c r="F82" s="116">
        <f>+F41+F43+F50+F56+F63+F71+F81+F61</f>
        <v>5722.92</v>
      </c>
      <c r="G82" s="28">
        <f t="shared" si="60"/>
        <v>9.1332746220460809E-2</v>
      </c>
      <c r="H82" s="128">
        <f>+H41+H43+H50+H56+H63+H71+H81+H61</f>
        <v>7385.0499999999993</v>
      </c>
      <c r="I82" s="28">
        <f t="shared" si="62"/>
        <v>-0.1542900860522271</v>
      </c>
      <c r="K82" s="116">
        <f>+K41+K43+K50+K56+K63+K71+K81+K61</f>
        <v>43391.229999999996</v>
      </c>
      <c r="L82" s="116">
        <f>+L41+L43+L50+L56+L63+L71+L81+L61</f>
        <v>47679.200000000004</v>
      </c>
      <c r="M82" s="28">
        <f t="shared" si="68"/>
        <v>-8.9933765667209356E-2</v>
      </c>
      <c r="N82" s="128">
        <f>+N41+N43+N50+N56+N63+N71+N81+N61</f>
        <v>46123.98</v>
      </c>
      <c r="O82" s="28">
        <f t="shared" si="69"/>
        <v>-5.9247922664089417E-2</v>
      </c>
    </row>
    <row r="83" spans="1:16" ht="8.25" customHeight="1" x14ac:dyDescent="0.25">
      <c r="A83" s="106">
        <v>78</v>
      </c>
      <c r="E83" s="110"/>
      <c r="F83" s="110"/>
      <c r="G83" s="66"/>
      <c r="H83" s="125"/>
      <c r="K83" s="110"/>
      <c r="L83" s="110"/>
      <c r="N83" s="125"/>
    </row>
    <row r="84" spans="1:16" ht="18.75" x14ac:dyDescent="0.25">
      <c r="A84" s="106">
        <v>79</v>
      </c>
      <c r="B84" s="11" t="s">
        <v>51</v>
      </c>
      <c r="E84" s="110"/>
      <c r="F84" s="110"/>
      <c r="G84" s="66"/>
      <c r="H84" s="125"/>
      <c r="K84" s="110"/>
      <c r="L84" s="110"/>
      <c r="N84" s="125"/>
    </row>
    <row r="85" spans="1:16" outlineLevel="1" x14ac:dyDescent="0.25">
      <c r="A85" s="106">
        <v>80</v>
      </c>
      <c r="B85" s="5" t="s">
        <v>52</v>
      </c>
      <c r="E85" s="118"/>
      <c r="F85" s="110"/>
      <c r="G85" s="66"/>
      <c r="H85" s="125"/>
      <c r="K85" s="110"/>
      <c r="L85" s="110"/>
      <c r="N85" s="125"/>
    </row>
    <row r="86" spans="1:16" outlineLevel="1" x14ac:dyDescent="0.25">
      <c r="A86" s="106">
        <v>81</v>
      </c>
      <c r="C86" s="1" t="s">
        <v>54</v>
      </c>
      <c r="E86" s="108">
        <f>VLOOKUP($A86,Cur_Actuals,Cur_Month+5)</f>
        <v>6869.5800000000017</v>
      </c>
      <c r="F86" s="108">
        <f>VLOOKUP($A86,Cur_Budget,Cur_Month+5)</f>
        <v>7552.58</v>
      </c>
      <c r="G86" s="7">
        <f t="shared" ref="G86:G91" si="70">IF(F86=0,"NA",(+E86-F86)/F86)</f>
        <v>-9.0432673338117331E-2</v>
      </c>
      <c r="H86" s="123">
        <f>VLOOKUP($A86,PY_Actual,Cur_Month+5)</f>
        <v>6869.58</v>
      </c>
      <c r="I86" s="7">
        <f t="shared" ref="I86:I91" si="71">IF(H86=0,"NA",(+E86-H86)/H86)</f>
        <v>2.6478902691952877E-16</v>
      </c>
      <c r="K86" s="108">
        <f>VLOOKUP($A86,Cur_Actuals,Cur_Month+18)</f>
        <v>74842.83</v>
      </c>
      <c r="L86" s="108">
        <f>VLOOKUP($A86,Cur_Budget,Cur_Month+18)</f>
        <v>75525.8</v>
      </c>
      <c r="M86" s="7">
        <f t="shared" ref="M86:M90" si="72">IF(L86=0,"NA",(+K86-L86)/L86)</f>
        <v>-9.042870118555528E-3</v>
      </c>
      <c r="N86" s="123">
        <f>VLOOKUP($A86,PY_Actual,Cur_Month+18)</f>
        <v>74167.83</v>
      </c>
      <c r="O86" s="7">
        <f t="shared" ref="O86:O90" si="73">IF(N86=0,"NA",(+K86-N86)/N86)</f>
        <v>9.1009808430420579E-3</v>
      </c>
    </row>
    <row r="87" spans="1:16" outlineLevel="1" x14ac:dyDescent="0.25">
      <c r="A87" s="106">
        <v>82</v>
      </c>
      <c r="C87" s="1" t="s">
        <v>55</v>
      </c>
      <c r="E87" s="108">
        <f>VLOOKUP($A87,Cur_Actuals,Cur_Month+5)</f>
        <v>250</v>
      </c>
      <c r="F87" s="108">
        <f>VLOOKUP($A87,Cur_Budget,Cur_Month+5)</f>
        <v>250</v>
      </c>
      <c r="G87" s="7">
        <f t="shared" si="70"/>
        <v>0</v>
      </c>
      <c r="H87" s="123">
        <f>VLOOKUP($A87,PY_Actual,Cur_Month+5)</f>
        <v>250</v>
      </c>
      <c r="I87" s="7">
        <f t="shared" si="71"/>
        <v>0</v>
      </c>
      <c r="K87" s="108">
        <f>VLOOKUP($A87,Cur_Actuals,Cur_Month+18)</f>
        <v>2500</v>
      </c>
      <c r="L87" s="108">
        <f>VLOOKUP($A87,Cur_Budget,Cur_Month+18)</f>
        <v>2500</v>
      </c>
      <c r="M87" s="7">
        <f t="shared" si="72"/>
        <v>0</v>
      </c>
      <c r="N87" s="123">
        <f>VLOOKUP($A87,PY_Actual,Cur_Month+18)</f>
        <v>2500</v>
      </c>
      <c r="O87" s="7">
        <f t="shared" si="73"/>
        <v>0</v>
      </c>
    </row>
    <row r="88" spans="1:16" outlineLevel="1" x14ac:dyDescent="0.25">
      <c r="A88" s="106">
        <v>83</v>
      </c>
      <c r="C88" s="1" t="s">
        <v>56</v>
      </c>
      <c r="E88" s="108">
        <f>VLOOKUP($A88,Cur_Actuals,Cur_Month+5)</f>
        <v>2810.1099999999969</v>
      </c>
      <c r="F88" s="108">
        <f>VLOOKUP($A88,Cur_Budget,Cur_Month+5)</f>
        <v>2836.17</v>
      </c>
      <c r="G88" s="7">
        <f t="shared" si="70"/>
        <v>-9.1884478010849594E-3</v>
      </c>
      <c r="H88" s="123">
        <f>VLOOKUP($A88,PY_Actual,Cur_Month+5)</f>
        <v>2820.66</v>
      </c>
      <c r="I88" s="7">
        <f t="shared" si="71"/>
        <v>-3.7402593719210791E-3</v>
      </c>
      <c r="K88" s="108">
        <f>VLOOKUP($A88,Cur_Actuals,Cur_Month+18)</f>
        <v>28101.1</v>
      </c>
      <c r="L88" s="108">
        <f>VLOOKUP($A88,Cur_Budget,Cur_Month+18)</f>
        <v>28361.699999999997</v>
      </c>
      <c r="M88" s="7">
        <f t="shared" si="72"/>
        <v>-9.1884478010838058E-3</v>
      </c>
      <c r="N88" s="123">
        <f>VLOOKUP($A88,PY_Actual,Cur_Month+18)</f>
        <v>28206.6</v>
      </c>
      <c r="O88" s="7">
        <f t="shared" si="73"/>
        <v>-3.7402593719200474E-3</v>
      </c>
    </row>
    <row r="89" spans="1:16" outlineLevel="1" x14ac:dyDescent="0.25">
      <c r="A89" s="106">
        <v>84</v>
      </c>
      <c r="C89" s="1" t="s">
        <v>57</v>
      </c>
      <c r="E89" s="108">
        <f>VLOOKUP($A89,Cur_Actuals,Cur_Month+5)</f>
        <v>0</v>
      </c>
      <c r="F89" s="108">
        <f>VLOOKUP($A89,Cur_Budget,Cur_Month+5)</f>
        <v>333.33</v>
      </c>
      <c r="G89" s="7">
        <f t="shared" si="70"/>
        <v>-1</v>
      </c>
      <c r="H89" s="123">
        <f>VLOOKUP($A89,PY_Actual,Cur_Month+5)</f>
        <v>4.7300000000000004</v>
      </c>
      <c r="I89" s="7">
        <f t="shared" si="71"/>
        <v>-1</v>
      </c>
      <c r="K89" s="108">
        <f>VLOOKUP($A89,Cur_Actuals,Cur_Month+18)</f>
        <v>3957.4</v>
      </c>
      <c r="L89" s="108">
        <f>VLOOKUP($A89,Cur_Budget,Cur_Month+18)</f>
        <v>3333.2999999999997</v>
      </c>
      <c r="M89" s="7">
        <f t="shared" si="72"/>
        <v>0.18723187231872332</v>
      </c>
      <c r="N89" s="123">
        <f>VLOOKUP($A89,PY_Actual,Cur_Month+18)</f>
        <v>3880.9</v>
      </c>
      <c r="O89" s="7">
        <f t="shared" si="73"/>
        <v>1.9711922492205415E-2</v>
      </c>
    </row>
    <row r="90" spans="1:16" outlineLevel="1" x14ac:dyDescent="0.25">
      <c r="A90" s="106">
        <v>85</v>
      </c>
      <c r="C90" s="1" t="s">
        <v>58</v>
      </c>
      <c r="E90" s="108">
        <f>VLOOKUP($A90,Cur_Actuals,Cur_Month+5)</f>
        <v>0</v>
      </c>
      <c r="F90" s="108">
        <f>VLOOKUP($A90,Cur_Budget,Cur_Month+5)</f>
        <v>250</v>
      </c>
      <c r="G90" s="7">
        <f t="shared" si="70"/>
        <v>-1</v>
      </c>
      <c r="H90" s="123">
        <f>VLOOKUP($A90,PY_Actual,Cur_Month+5)</f>
        <v>174.96</v>
      </c>
      <c r="I90" s="7">
        <f t="shared" si="71"/>
        <v>-1</v>
      </c>
      <c r="K90" s="108">
        <f>VLOOKUP($A90,Cur_Actuals,Cur_Month+18)</f>
        <v>2239.13</v>
      </c>
      <c r="L90" s="108">
        <f>VLOOKUP($A90,Cur_Budget,Cur_Month+18)</f>
        <v>2500</v>
      </c>
      <c r="M90" s="7">
        <f t="shared" si="72"/>
        <v>-0.10434799999999995</v>
      </c>
      <c r="N90" s="123">
        <f>VLOOKUP($A90,PY_Actual,Cur_Month+18)</f>
        <v>3000</v>
      </c>
      <c r="O90" s="7">
        <f t="shared" si="73"/>
        <v>-0.25362333333333331</v>
      </c>
    </row>
    <row r="91" spans="1:16" s="5" customFormat="1" x14ac:dyDescent="0.25">
      <c r="A91" s="106">
        <v>86</v>
      </c>
      <c r="B91" s="33" t="s">
        <v>59</v>
      </c>
      <c r="C91" s="33"/>
      <c r="D91" s="33"/>
      <c r="E91" s="119">
        <f>SUM(E86:E90)</f>
        <v>9929.6899999999987</v>
      </c>
      <c r="F91" s="119">
        <f>SUM(F86:F90)</f>
        <v>11222.08</v>
      </c>
      <c r="G91" s="34">
        <f t="shared" si="70"/>
        <v>-0.11516492486241421</v>
      </c>
      <c r="H91" s="130">
        <f>SUM(H86:H90)</f>
        <v>10119.929999999998</v>
      </c>
      <c r="I91" s="34">
        <f t="shared" si="71"/>
        <v>-1.8798549001821142E-2</v>
      </c>
      <c r="K91" s="119">
        <f>SUM(K86:K90)</f>
        <v>111640.45999999999</v>
      </c>
      <c r="L91" s="119">
        <f>SUM(L86:L90)</f>
        <v>112220.8</v>
      </c>
      <c r="M91" s="34">
        <f t="shared" ref="M91" si="74">IF(L91=0,"NA",(+K91-L91)/L91)</f>
        <v>-5.1714120733412257E-3</v>
      </c>
      <c r="N91" s="130">
        <f>SUM(N86:N90)</f>
        <v>111755.32999999999</v>
      </c>
      <c r="O91" s="34">
        <f t="shared" ref="O91" si="75">IF(N91=0,"NA",(+K91-N91)/N91)</f>
        <v>-1.0278704380363368E-3</v>
      </c>
      <c r="P91" s="14"/>
    </row>
    <row r="92" spans="1:16" ht="6.75" hidden="1" customHeight="1" outlineLevel="1" x14ac:dyDescent="0.25">
      <c r="A92" s="106">
        <v>87</v>
      </c>
      <c r="E92" s="110"/>
      <c r="F92" s="110"/>
      <c r="G92" s="66"/>
      <c r="H92" s="125"/>
      <c r="K92" s="110"/>
      <c r="L92" s="110"/>
      <c r="N92" s="125"/>
    </row>
    <row r="93" spans="1:16" hidden="1" outlineLevel="1" x14ac:dyDescent="0.25">
      <c r="A93" s="106">
        <v>88</v>
      </c>
      <c r="B93" s="5" t="s">
        <v>60</v>
      </c>
      <c r="E93" s="110"/>
      <c r="F93" s="110"/>
      <c r="G93" s="66"/>
      <c r="H93" s="125"/>
      <c r="K93" s="110"/>
      <c r="L93" s="110"/>
      <c r="N93" s="125"/>
    </row>
    <row r="94" spans="1:16" hidden="1" outlineLevel="1" x14ac:dyDescent="0.25">
      <c r="A94" s="106">
        <v>89</v>
      </c>
      <c r="C94" s="1" t="s">
        <v>61</v>
      </c>
      <c r="E94" s="108">
        <f>VLOOKUP($A94,Cur_Actuals,Cur_Month+5)</f>
        <v>958.92000000000007</v>
      </c>
      <c r="F94" s="108">
        <f>VLOOKUP($A94,Cur_Budget,Cur_Month+5)</f>
        <v>958.92</v>
      </c>
      <c r="G94" s="7">
        <f t="shared" ref="G94:G96" si="76">IF(F94=0,"NA",(+E94-F94)/F94)</f>
        <v>1.185571661052184E-16</v>
      </c>
      <c r="H94" s="123">
        <f>VLOOKUP($A94,PY_Actual,Cur_Month+5)</f>
        <v>942.26</v>
      </c>
      <c r="I94" s="7">
        <f>IF(H94=0,"NA",(+E94-H94)/H94)</f>
        <v>1.7680894869781253E-2</v>
      </c>
      <c r="K94" s="108">
        <f>VLOOKUP($A94,Cur_Actuals,Cur_Month+18)</f>
        <v>9589.2000000000007</v>
      </c>
      <c r="L94" s="108">
        <f>VLOOKUP($A94,Cur_Budget,Cur_Month+18)</f>
        <v>9589.1999999999989</v>
      </c>
      <c r="M94" s="7">
        <f t="shared" ref="M94:M95" si="77">IF(L94=0,"NA",(+K94-L94)/L94)</f>
        <v>1.8969146576834948E-16</v>
      </c>
      <c r="N94" s="123">
        <f>VLOOKUP($A94,PY_Actual,Cur_Month+18)</f>
        <v>9422.6</v>
      </c>
      <c r="O94" s="7">
        <f t="shared" ref="O94:O95" si="78">IF(N94=0,"NA",(+K94-N94)/N94)</f>
        <v>1.7680894869781201E-2</v>
      </c>
    </row>
    <row r="95" spans="1:16" hidden="1" outlineLevel="1" x14ac:dyDescent="0.25">
      <c r="A95" s="106">
        <v>90</v>
      </c>
      <c r="C95" s="1" t="s">
        <v>62</v>
      </c>
      <c r="E95" s="108">
        <f>VLOOKUP($A95,Cur_Actuals,Cur_Month+5)</f>
        <v>416.66000000000031</v>
      </c>
      <c r="F95" s="108">
        <f>VLOOKUP($A95,Cur_Budget,Cur_Month+5)</f>
        <v>416.67</v>
      </c>
      <c r="G95" s="7">
        <f t="shared" si="76"/>
        <v>-2.3999808000832043E-5</v>
      </c>
      <c r="H95" s="123">
        <f>VLOOKUP($A95,PY_Actual,Cur_Month+5)</f>
        <v>416.66</v>
      </c>
      <c r="I95" s="7">
        <f>IF(H95=0,"NA",(+E95-H95)/H95)</f>
        <v>6.8213194044074314E-16</v>
      </c>
      <c r="K95" s="108">
        <f>VLOOKUP($A95,Cur_Actuals,Cur_Month+18)</f>
        <v>4166.6000000000004</v>
      </c>
      <c r="L95" s="108">
        <f>VLOOKUP($A95,Cur_Budget,Cur_Month+18)</f>
        <v>4166.7</v>
      </c>
      <c r="M95" s="7">
        <f t="shared" si="77"/>
        <v>-2.3999808001405023E-5</v>
      </c>
      <c r="N95" s="123">
        <f>VLOOKUP($A95,PY_Actual,Cur_Month+18)</f>
        <v>4166.5999999999995</v>
      </c>
      <c r="O95" s="7">
        <f t="shared" si="78"/>
        <v>2.1828222094103786E-16</v>
      </c>
    </row>
    <row r="96" spans="1:16" s="5" customFormat="1" collapsed="1" x14ac:dyDescent="0.25">
      <c r="A96" s="106">
        <v>91</v>
      </c>
      <c r="B96" s="33" t="s">
        <v>63</v>
      </c>
      <c r="C96" s="33"/>
      <c r="D96" s="33"/>
      <c r="E96" s="119">
        <f>SUM(E94:E95)</f>
        <v>1375.5800000000004</v>
      </c>
      <c r="F96" s="119">
        <f>SUM(F94:F95)</f>
        <v>1375.59</v>
      </c>
      <c r="G96" s="34">
        <f t="shared" si="76"/>
        <v>-7.2696079497060593E-6</v>
      </c>
      <c r="H96" s="130">
        <f>SUM(H94:H95)</f>
        <v>1358.92</v>
      </c>
      <c r="I96" s="34">
        <f>IF(H96=0,"NA",(+E96-H96)/H96)</f>
        <v>1.2259735672445992E-2</v>
      </c>
      <c r="K96" s="119">
        <f>SUM(K94:K95)</f>
        <v>13755.800000000001</v>
      </c>
      <c r="L96" s="119">
        <f>SUM(L94:L95)</f>
        <v>13755.899999999998</v>
      </c>
      <c r="M96" s="34">
        <f>IF(L96=0,"NA",(+K96-L96)/L96)</f>
        <v>-7.269607949805235E-6</v>
      </c>
      <c r="N96" s="130">
        <f>SUM(N94:N95)</f>
        <v>13589.2</v>
      </c>
      <c r="O96" s="34">
        <f>IF(N96=0,"NA",(+K96-N96)/N96)</f>
        <v>1.2259735672445793E-2</v>
      </c>
      <c r="P96" s="14"/>
    </row>
    <row r="97" spans="1:16" ht="4.5" hidden="1" customHeight="1" outlineLevel="1" x14ac:dyDescent="0.25">
      <c r="A97" s="106">
        <v>92</v>
      </c>
      <c r="E97" s="110"/>
      <c r="F97" s="110"/>
      <c r="G97" s="66"/>
      <c r="H97" s="125"/>
      <c r="K97" s="110"/>
      <c r="L97" s="110"/>
      <c r="N97" s="125"/>
    </row>
    <row r="98" spans="1:16" hidden="1" outlineLevel="1" x14ac:dyDescent="0.25">
      <c r="A98" s="106">
        <v>93</v>
      </c>
      <c r="B98" s="5" t="s">
        <v>64</v>
      </c>
      <c r="E98" s="110"/>
      <c r="F98" s="110"/>
      <c r="G98" s="66"/>
      <c r="H98" s="125"/>
      <c r="K98" s="110"/>
      <c r="L98" s="110"/>
      <c r="N98" s="125"/>
    </row>
    <row r="99" spans="1:16" hidden="1" outlineLevel="1" x14ac:dyDescent="0.25">
      <c r="A99" s="106">
        <v>94</v>
      </c>
      <c r="C99" s="1" t="s">
        <v>61</v>
      </c>
      <c r="E99" s="108">
        <f>VLOOKUP($A99,Cur_Actuals,Cur_Month+5)</f>
        <v>1160.58</v>
      </c>
      <c r="F99" s="108">
        <f>VLOOKUP($A99,Cur_Budget,Cur_Month+5)</f>
        <v>1160.58</v>
      </c>
      <c r="G99" s="7">
        <f t="shared" ref="G99:G101" si="79">IF(F99=0,"NA",(+E99-F99)/F99)</f>
        <v>0</v>
      </c>
      <c r="H99" s="123">
        <f>VLOOKUP($A99,PY_Actual,Cur_Month+5)</f>
        <v>1127.26</v>
      </c>
      <c r="I99" s="7">
        <f>IF(H99=0,"NA",(+E99-H99)/H99)</f>
        <v>2.9558398239980074E-2</v>
      </c>
      <c r="K99" s="108">
        <f>VLOOKUP($A99,Cur_Actuals,Cur_Month+18)</f>
        <v>11605.8</v>
      </c>
      <c r="L99" s="108">
        <f>VLOOKUP($A99,Cur_Budget,Cur_Month+18)</f>
        <v>11605.8</v>
      </c>
      <c r="M99" s="7">
        <f t="shared" ref="M99:M100" si="80">IF(L99=0,"NA",(+K99-L99)/L99)</f>
        <v>0</v>
      </c>
      <c r="N99" s="123">
        <f>VLOOKUP($A99,PY_Actual,Cur_Month+18)</f>
        <v>11272.6</v>
      </c>
      <c r="O99" s="7">
        <f t="shared" ref="O99:O100" si="81">IF(N99=0,"NA",(+K99-N99)/N99)</f>
        <v>2.9558398239980032E-2</v>
      </c>
    </row>
    <row r="100" spans="1:16" hidden="1" outlineLevel="1" x14ac:dyDescent="0.25">
      <c r="A100" s="106">
        <v>95</v>
      </c>
      <c r="C100" s="1" t="s">
        <v>65</v>
      </c>
      <c r="E100" s="108">
        <f>VLOOKUP($A100,Cur_Actuals,Cur_Month+5)</f>
        <v>142.5</v>
      </c>
      <c r="F100" s="108">
        <f>VLOOKUP($A100,Cur_Budget,Cur_Month+5)</f>
        <v>62.5</v>
      </c>
      <c r="G100" s="7">
        <f t="shared" si="79"/>
        <v>1.28</v>
      </c>
      <c r="H100" s="123">
        <f>VLOOKUP($A100,PY_Actual,Cur_Month+5)</f>
        <v>183.13</v>
      </c>
      <c r="I100" s="7">
        <f>IF(H100=0,"NA",(+E100-H100)/H100)</f>
        <v>-0.22186424944028829</v>
      </c>
      <c r="K100" s="108">
        <f>VLOOKUP($A100,Cur_Actuals,Cur_Month+18)</f>
        <v>776.88</v>
      </c>
      <c r="L100" s="108">
        <f>VLOOKUP($A100,Cur_Budget,Cur_Month+18)</f>
        <v>625</v>
      </c>
      <c r="M100" s="7">
        <f t="shared" si="80"/>
        <v>0.243008</v>
      </c>
      <c r="N100" s="123">
        <f>VLOOKUP($A100,PY_Actual,Cur_Month+18)</f>
        <v>595.63</v>
      </c>
      <c r="O100" s="7">
        <f t="shared" si="81"/>
        <v>0.30429964911102531</v>
      </c>
    </row>
    <row r="101" spans="1:16" s="5" customFormat="1" collapsed="1" x14ac:dyDescent="0.25">
      <c r="A101" s="106">
        <v>96</v>
      </c>
      <c r="B101" s="33" t="s">
        <v>66</v>
      </c>
      <c r="C101" s="33"/>
      <c r="D101" s="33"/>
      <c r="E101" s="119">
        <f>SUM(E99:E100)</f>
        <v>1303.08</v>
      </c>
      <c r="F101" s="119">
        <f>SUM(F99:F100)</f>
        <v>1223.08</v>
      </c>
      <c r="G101" s="34">
        <f t="shared" si="79"/>
        <v>6.5408640481407598E-2</v>
      </c>
      <c r="H101" s="130">
        <f>SUM(H99:H100)</f>
        <v>1310.3899999999999</v>
      </c>
      <c r="I101" s="34">
        <f>IF(H101=0,"NA",(+E101-H101)/H101)</f>
        <v>-5.5784918993581649E-3</v>
      </c>
      <c r="K101" s="119">
        <f>SUM(K99:K100)</f>
        <v>12382.679999999998</v>
      </c>
      <c r="L101" s="119">
        <f>SUM(L99:L100)</f>
        <v>12230.8</v>
      </c>
      <c r="M101" s="34">
        <f>IF(L101=0,"NA",(+K101-L101)/L101)</f>
        <v>1.2417830395395167E-2</v>
      </c>
      <c r="N101" s="130">
        <f>SUM(N99:N100)</f>
        <v>11868.23</v>
      </c>
      <c r="O101" s="34">
        <f>IF(N101=0,"NA",(+K101-N101)/N101)</f>
        <v>4.3346817511962517E-2</v>
      </c>
      <c r="P101" s="14"/>
    </row>
    <row r="102" spans="1:16" ht="6" hidden="1" customHeight="1" outlineLevel="1" x14ac:dyDescent="0.25">
      <c r="A102" s="106">
        <v>97</v>
      </c>
      <c r="E102" s="110"/>
      <c r="F102" s="110"/>
      <c r="G102" s="66"/>
      <c r="H102" s="125"/>
      <c r="K102" s="110"/>
      <c r="L102" s="110"/>
      <c r="N102" s="125"/>
    </row>
    <row r="103" spans="1:16" hidden="1" outlineLevel="1" x14ac:dyDescent="0.25">
      <c r="A103" s="106">
        <v>98</v>
      </c>
      <c r="B103" s="5" t="s">
        <v>67</v>
      </c>
      <c r="E103" s="110"/>
      <c r="F103" s="110"/>
      <c r="G103" s="66"/>
      <c r="H103" s="125"/>
      <c r="K103" s="110"/>
      <c r="L103" s="110"/>
      <c r="N103" s="125"/>
    </row>
    <row r="104" spans="1:16" hidden="1" outlineLevel="1" x14ac:dyDescent="0.25">
      <c r="A104" s="106">
        <v>99</v>
      </c>
      <c r="C104" s="1" t="s">
        <v>61</v>
      </c>
      <c r="E104" s="108">
        <f t="shared" ref="E104:E109" si="82">VLOOKUP($A104,Cur_Actuals,Cur_Month+5)</f>
        <v>2971.16</v>
      </c>
      <c r="F104" s="108">
        <f t="shared" ref="F104:F109" si="83">VLOOKUP($A104,Cur_Budget,Cur_Month+5)</f>
        <v>2971.17</v>
      </c>
      <c r="G104" s="7">
        <f t="shared" ref="G104:G110" si="84">IF(F104=0,"NA",(+E104-F104)/F104)</f>
        <v>-3.3656774941246304E-6</v>
      </c>
      <c r="H104" s="123">
        <f t="shared" ref="H104:H109" si="85">VLOOKUP($A104,PY_Actual,Cur_Month+5)</f>
        <v>2912.84</v>
      </c>
      <c r="I104" s="7">
        <f t="shared" ref="I104:I110" si="86">IF(H104=0,"NA",(+E104-H104)/H104)</f>
        <v>2.0021697037942252E-2</v>
      </c>
      <c r="K104" s="108">
        <f t="shared" ref="K104:K109" si="87">VLOOKUP($A104,Cur_Actuals,Cur_Month+18)</f>
        <v>29711.599999999999</v>
      </c>
      <c r="L104" s="108">
        <f t="shared" ref="L104:L109" si="88">VLOOKUP($A104,Cur_Budget,Cur_Month+18)</f>
        <v>29711.699999999997</v>
      </c>
      <c r="M104" s="7">
        <f t="shared" ref="M104:M107" si="89">IF(L104=0,"NA",(+K104-L104)/L104)</f>
        <v>-3.3656774940021884E-6</v>
      </c>
      <c r="N104" s="123">
        <f t="shared" ref="N104:N109" si="90">VLOOKUP($A104,PY_Actual,Cur_Month+18)</f>
        <v>29128.400000000001</v>
      </c>
      <c r="O104" s="7">
        <f t="shared" ref="O104:O107" si="91">IF(N104=0,"NA",(+K104-N104)/N104)</f>
        <v>2.0021697037942252E-2</v>
      </c>
    </row>
    <row r="105" spans="1:16" hidden="1" outlineLevel="1" x14ac:dyDescent="0.25">
      <c r="A105" s="106">
        <v>100</v>
      </c>
      <c r="C105" s="1" t="s">
        <v>56</v>
      </c>
      <c r="E105" s="108">
        <f t="shared" si="82"/>
        <v>395.16999999999962</v>
      </c>
      <c r="F105" s="108">
        <f t="shared" si="83"/>
        <v>395.17</v>
      </c>
      <c r="G105" s="7">
        <f t="shared" si="84"/>
        <v>-1.0069183693743354E-15</v>
      </c>
      <c r="H105" s="123">
        <f t="shared" si="85"/>
        <v>416.54</v>
      </c>
      <c r="I105" s="7">
        <f t="shared" si="86"/>
        <v>-5.130359629327412E-2</v>
      </c>
      <c r="K105" s="108">
        <f t="shared" si="87"/>
        <v>3951.7</v>
      </c>
      <c r="L105" s="108">
        <f t="shared" si="88"/>
        <v>3951.7000000000003</v>
      </c>
      <c r="M105" s="7">
        <f t="shared" si="89"/>
        <v>-1.1507638507135262E-16</v>
      </c>
      <c r="N105" s="123">
        <f t="shared" si="90"/>
        <v>4138.78</v>
      </c>
      <c r="O105" s="7">
        <f t="shared" si="91"/>
        <v>-4.5201726112525896E-2</v>
      </c>
    </row>
    <row r="106" spans="1:16" hidden="1" outlineLevel="1" x14ac:dyDescent="0.25">
      <c r="A106" s="106">
        <v>101</v>
      </c>
      <c r="C106" s="1" t="s">
        <v>58</v>
      </c>
      <c r="E106" s="108">
        <f t="shared" si="82"/>
        <v>0</v>
      </c>
      <c r="F106" s="108">
        <f t="shared" si="83"/>
        <v>62.5</v>
      </c>
      <c r="G106" s="7">
        <f t="shared" si="84"/>
        <v>-1</v>
      </c>
      <c r="H106" s="123">
        <f t="shared" si="85"/>
        <v>0</v>
      </c>
      <c r="I106" s="7" t="str">
        <f t="shared" si="86"/>
        <v>NA</v>
      </c>
      <c r="K106" s="108">
        <f t="shared" si="87"/>
        <v>379.8</v>
      </c>
      <c r="L106" s="108">
        <f t="shared" si="88"/>
        <v>625</v>
      </c>
      <c r="M106" s="7">
        <f t="shared" si="89"/>
        <v>-0.39232</v>
      </c>
      <c r="N106" s="123">
        <f t="shared" si="90"/>
        <v>85</v>
      </c>
      <c r="O106" s="7">
        <f t="shared" si="91"/>
        <v>3.4682352941176471</v>
      </c>
    </row>
    <row r="107" spans="1:16" hidden="1" outlineLevel="1" x14ac:dyDescent="0.25">
      <c r="A107" s="106">
        <v>102</v>
      </c>
      <c r="C107" s="1" t="s">
        <v>57</v>
      </c>
      <c r="E107" s="108">
        <f t="shared" si="82"/>
        <v>0</v>
      </c>
      <c r="F107" s="108">
        <f t="shared" si="83"/>
        <v>166.67</v>
      </c>
      <c r="G107" s="7">
        <f t="shared" si="84"/>
        <v>-1</v>
      </c>
      <c r="H107" s="123">
        <f t="shared" si="85"/>
        <v>27.2</v>
      </c>
      <c r="I107" s="7">
        <f t="shared" si="86"/>
        <v>-1</v>
      </c>
      <c r="K107" s="108">
        <f t="shared" si="87"/>
        <v>2000</v>
      </c>
      <c r="L107" s="108">
        <f t="shared" si="88"/>
        <v>1666.7</v>
      </c>
      <c r="M107" s="7">
        <f t="shared" si="89"/>
        <v>0.19997600047999037</v>
      </c>
      <c r="N107" s="123">
        <f t="shared" si="90"/>
        <v>1484.68</v>
      </c>
      <c r="O107" s="7">
        <f t="shared" si="91"/>
        <v>0.34709162917261627</v>
      </c>
    </row>
    <row r="108" spans="1:16" hidden="1" outlineLevel="1" x14ac:dyDescent="0.25">
      <c r="A108" s="106">
        <v>103</v>
      </c>
      <c r="C108" s="1" t="s">
        <v>62</v>
      </c>
      <c r="E108" s="108">
        <f t="shared" si="82"/>
        <v>95.490000000000009</v>
      </c>
      <c r="F108" s="108">
        <f t="shared" si="83"/>
        <v>125</v>
      </c>
      <c r="G108" s="7">
        <f t="shared" si="84"/>
        <v>-0.23607999999999993</v>
      </c>
      <c r="H108" s="123">
        <f t="shared" si="85"/>
        <v>271.95999999999998</v>
      </c>
      <c r="I108" s="7">
        <f t="shared" ref="I108:I109" si="92">IF(H108=0,"NA",(+E108-H108)/H108)</f>
        <v>-0.64888218855714075</v>
      </c>
      <c r="K108" s="108">
        <f t="shared" si="87"/>
        <v>1106.3</v>
      </c>
      <c r="L108" s="108">
        <f t="shared" si="88"/>
        <v>1250</v>
      </c>
      <c r="M108" s="7">
        <f t="shared" ref="M108:M109" si="93">IF(L108=0,"NA",(+K108-L108)/L108)</f>
        <v>-0.11496000000000003</v>
      </c>
      <c r="N108" s="123">
        <f t="shared" si="90"/>
        <v>1509.6299999999999</v>
      </c>
      <c r="O108" s="7">
        <f t="shared" ref="O108:O109" si="94">IF(N108=0,"NA",(+K108-N108)/N108)</f>
        <v>-0.26717142611103378</v>
      </c>
    </row>
    <row r="109" spans="1:16" hidden="1" outlineLevel="1" x14ac:dyDescent="0.25">
      <c r="A109" s="106">
        <v>104</v>
      </c>
      <c r="C109" s="1" t="s">
        <v>68</v>
      </c>
      <c r="E109" s="108">
        <f t="shared" si="82"/>
        <v>108.10000000000002</v>
      </c>
      <c r="F109" s="108">
        <f t="shared" si="83"/>
        <v>106</v>
      </c>
      <c r="G109" s="7">
        <f t="shared" si="84"/>
        <v>1.9811320754717195E-2</v>
      </c>
      <c r="H109" s="123">
        <f t="shared" si="85"/>
        <v>92.95</v>
      </c>
      <c r="I109" s="7">
        <f t="shared" si="92"/>
        <v>0.16299085529854782</v>
      </c>
      <c r="J109" s="7"/>
      <c r="K109" s="108">
        <f t="shared" si="87"/>
        <v>1081</v>
      </c>
      <c r="L109" s="108">
        <f t="shared" si="88"/>
        <v>1060</v>
      </c>
      <c r="M109" s="7">
        <f t="shared" si="93"/>
        <v>1.981132075471698E-2</v>
      </c>
      <c r="N109" s="123">
        <f t="shared" si="90"/>
        <v>1022.4500000000003</v>
      </c>
      <c r="O109" s="7">
        <f t="shared" si="94"/>
        <v>5.7264413907770269E-2</v>
      </c>
    </row>
    <row r="110" spans="1:16" s="5" customFormat="1" collapsed="1" x14ac:dyDescent="0.25">
      <c r="A110" s="106">
        <v>105</v>
      </c>
      <c r="B110" s="33" t="s">
        <v>69</v>
      </c>
      <c r="C110" s="33"/>
      <c r="D110" s="33"/>
      <c r="E110" s="119">
        <f>SUM(E104:E109)</f>
        <v>3569.9199999999996</v>
      </c>
      <c r="F110" s="119">
        <f>SUM(F104:F109)</f>
        <v>3826.51</v>
      </c>
      <c r="G110" s="34">
        <f t="shared" si="84"/>
        <v>-6.705588120768026E-2</v>
      </c>
      <c r="H110" s="130">
        <f>SUM(H104:H109)</f>
        <v>3721.49</v>
      </c>
      <c r="I110" s="34">
        <f t="shared" si="86"/>
        <v>-4.0728310434799013E-2</v>
      </c>
      <c r="K110" s="119">
        <f>SUM(K104:K109)</f>
        <v>38230.400000000001</v>
      </c>
      <c r="L110" s="119">
        <f>SUM(L104:L109)</f>
        <v>38265.099999999991</v>
      </c>
      <c r="M110" s="34">
        <f t="shared" ref="M110" si="95">IF(L110=0,"NA",(+K110-L110)/L110)</f>
        <v>-9.0683155146569123E-4</v>
      </c>
      <c r="N110" s="130">
        <f>SUM(N104:N109)</f>
        <v>37368.939999999995</v>
      </c>
      <c r="O110" s="34">
        <f t="shared" ref="O110" si="96">IF(N110=0,"NA",(+K110-N110)/N110)</f>
        <v>2.3052834787393128E-2</v>
      </c>
      <c r="P110" s="14"/>
    </row>
    <row r="111" spans="1:16" ht="6" hidden="1" customHeight="1" outlineLevel="1" x14ac:dyDescent="0.25">
      <c r="A111" s="106">
        <v>106</v>
      </c>
      <c r="E111" s="110"/>
      <c r="F111" s="110"/>
      <c r="G111" s="66"/>
      <c r="H111" s="125"/>
      <c r="K111" s="110"/>
      <c r="L111" s="110"/>
      <c r="N111" s="125"/>
    </row>
    <row r="112" spans="1:16" hidden="1" outlineLevel="1" x14ac:dyDescent="0.25">
      <c r="A112" s="106">
        <v>107</v>
      </c>
      <c r="B112" s="5" t="s">
        <v>70</v>
      </c>
      <c r="E112" s="110"/>
      <c r="F112" s="110"/>
      <c r="G112" s="66"/>
      <c r="H112" s="125"/>
      <c r="K112" s="110"/>
      <c r="L112" s="110"/>
      <c r="N112" s="125"/>
    </row>
    <row r="113" spans="1:18" hidden="1" outlineLevel="1" x14ac:dyDescent="0.25">
      <c r="A113" s="106">
        <v>108</v>
      </c>
      <c r="C113" s="1" t="s">
        <v>71</v>
      </c>
      <c r="E113" s="108">
        <f t="shared" ref="E113:E118" si="97">VLOOKUP($A113,Cur_Actuals,Cur_Month+5)</f>
        <v>798.33999999999924</v>
      </c>
      <c r="F113" s="108">
        <f t="shared" ref="F113:F118" si="98">VLOOKUP($A113,Cur_Budget,Cur_Month+5)</f>
        <v>798.33</v>
      </c>
      <c r="G113" s="7">
        <f t="shared" ref="G113:G119" si="99">IF(F113=0,"NA",(+E113-F113)/F113)</f>
        <v>1.2526148333640345E-5</v>
      </c>
      <c r="H113" s="123">
        <f t="shared" ref="H113:H118" si="100">VLOOKUP($A113,PY_Actual,Cur_Month+5)</f>
        <v>798.34</v>
      </c>
      <c r="I113" s="7">
        <f t="shared" ref="I113:I119" si="101">IF(H113=0,"NA",(+E113-H113)/H113)</f>
        <v>-9.9682824868015148E-16</v>
      </c>
      <c r="K113" s="108">
        <f t="shared" ref="K113:K118" si="102">VLOOKUP($A113,Cur_Actuals,Cur_Month+18)</f>
        <v>7983.4</v>
      </c>
      <c r="L113" s="108">
        <f t="shared" ref="L113:L118" si="103">VLOOKUP($A113,Cur_Budget,Cur_Month+18)</f>
        <v>7983.3</v>
      </c>
      <c r="M113" s="7">
        <f t="shared" ref="M113:M118" si="104">IF(L113=0,"NA",(+K113-L113)/L113)</f>
        <v>1.2526148334580223E-5</v>
      </c>
      <c r="N113" s="123">
        <f t="shared" ref="N113:N118" si="105">VLOOKUP($A113,PY_Actual,Cur_Month+18)</f>
        <v>7983.4000000000005</v>
      </c>
      <c r="O113" s="7">
        <f t="shared" ref="O113:O118" si="106">IF(N113=0,"NA",(+K113-N113)/N113)</f>
        <v>-1.1392322842058874E-16</v>
      </c>
    </row>
    <row r="114" spans="1:18" hidden="1" outlineLevel="1" x14ac:dyDescent="0.25">
      <c r="A114" s="106">
        <v>109</v>
      </c>
      <c r="C114" s="1" t="s">
        <v>72</v>
      </c>
      <c r="E114" s="108">
        <f t="shared" si="97"/>
        <v>0</v>
      </c>
      <c r="F114" s="108">
        <f t="shared" si="98"/>
        <v>41.67</v>
      </c>
      <c r="G114" s="7">
        <f t="shared" si="99"/>
        <v>-1</v>
      </c>
      <c r="H114" s="123">
        <f t="shared" si="100"/>
        <v>0</v>
      </c>
      <c r="I114" s="7" t="str">
        <f t="shared" si="101"/>
        <v>NA</v>
      </c>
      <c r="K114" s="108">
        <f t="shared" si="102"/>
        <v>300</v>
      </c>
      <c r="L114" s="108">
        <f t="shared" si="103"/>
        <v>416.7000000000001</v>
      </c>
      <c r="M114" s="7">
        <f t="shared" si="104"/>
        <v>-0.2800575953923688</v>
      </c>
      <c r="N114" s="123">
        <f t="shared" si="105"/>
        <v>300</v>
      </c>
      <c r="O114" s="7">
        <f t="shared" si="106"/>
        <v>0</v>
      </c>
    </row>
    <row r="115" spans="1:18" hidden="1" outlineLevel="1" x14ac:dyDescent="0.25">
      <c r="A115" s="106">
        <v>110</v>
      </c>
      <c r="C115" s="1" t="s">
        <v>73</v>
      </c>
      <c r="E115" s="108">
        <f t="shared" si="97"/>
        <v>1375.7799999999988</v>
      </c>
      <c r="F115" s="108">
        <f t="shared" si="98"/>
        <v>1512.67</v>
      </c>
      <c r="G115" s="7">
        <f t="shared" si="99"/>
        <v>-9.0495613716145118E-2</v>
      </c>
      <c r="H115" s="123">
        <f t="shared" si="100"/>
        <v>1405.48</v>
      </c>
      <c r="I115" s="7">
        <f t="shared" si="101"/>
        <v>-2.1131570708940135E-2</v>
      </c>
      <c r="K115" s="108">
        <f t="shared" si="102"/>
        <v>15557.8</v>
      </c>
      <c r="L115" s="108">
        <f t="shared" si="103"/>
        <v>15126.7</v>
      </c>
      <c r="M115" s="7">
        <f t="shared" si="104"/>
        <v>2.8499276114420099E-2</v>
      </c>
      <c r="N115" s="123">
        <f t="shared" si="105"/>
        <v>15254.799999999997</v>
      </c>
      <c r="O115" s="7">
        <f t="shared" si="106"/>
        <v>1.9862600624065991E-2</v>
      </c>
    </row>
    <row r="116" spans="1:18" hidden="1" outlineLevel="1" x14ac:dyDescent="0.25">
      <c r="A116" s="106">
        <v>111</v>
      </c>
      <c r="C116" s="1" t="s">
        <v>74</v>
      </c>
      <c r="E116" s="108">
        <f t="shared" si="97"/>
        <v>671.3</v>
      </c>
      <c r="F116" s="108">
        <f t="shared" si="98"/>
        <v>671.3</v>
      </c>
      <c r="G116" s="7">
        <f t="shared" si="99"/>
        <v>0</v>
      </c>
      <c r="H116" s="123">
        <f t="shared" si="100"/>
        <v>658.1</v>
      </c>
      <c r="I116" s="7">
        <f t="shared" si="101"/>
        <v>2.0057741984500731E-2</v>
      </c>
      <c r="K116" s="108">
        <f t="shared" si="102"/>
        <v>5370.4000000000005</v>
      </c>
      <c r="L116" s="108">
        <f t="shared" si="103"/>
        <v>5370.4000000000005</v>
      </c>
      <c r="M116" s="7">
        <f t="shared" si="104"/>
        <v>0</v>
      </c>
      <c r="N116" s="123">
        <f t="shared" si="105"/>
        <v>5264.8</v>
      </c>
      <c r="O116" s="7">
        <f t="shared" si="106"/>
        <v>2.0057741984500905E-2</v>
      </c>
    </row>
    <row r="117" spans="1:18" hidden="1" outlineLevel="1" x14ac:dyDescent="0.25">
      <c r="A117" s="106">
        <v>112</v>
      </c>
      <c r="C117" s="1" t="s">
        <v>75</v>
      </c>
      <c r="E117" s="108">
        <f t="shared" si="97"/>
        <v>141.44999999999999</v>
      </c>
      <c r="F117" s="108">
        <f t="shared" si="98"/>
        <v>141.5</v>
      </c>
      <c r="G117" s="7">
        <f t="shared" si="99"/>
        <v>-3.5335689045944428E-4</v>
      </c>
      <c r="H117" s="123">
        <f t="shared" si="100"/>
        <v>141.44999999999999</v>
      </c>
      <c r="I117" s="7">
        <f t="shared" si="101"/>
        <v>0</v>
      </c>
      <c r="K117" s="108">
        <f t="shared" si="102"/>
        <v>1414.5</v>
      </c>
      <c r="L117" s="108">
        <f t="shared" si="103"/>
        <v>1415</v>
      </c>
      <c r="M117" s="7">
        <f t="shared" si="104"/>
        <v>-3.5335689045936394E-4</v>
      </c>
      <c r="N117" s="123">
        <f t="shared" si="105"/>
        <v>1414.5000000000002</v>
      </c>
      <c r="O117" s="7">
        <f t="shared" si="106"/>
        <v>-1.6074491017549101E-16</v>
      </c>
    </row>
    <row r="118" spans="1:18" hidden="1" outlineLevel="1" x14ac:dyDescent="0.25">
      <c r="A118" s="106">
        <v>113</v>
      </c>
      <c r="C118" s="1" t="s">
        <v>76</v>
      </c>
      <c r="E118" s="108">
        <f t="shared" si="97"/>
        <v>200</v>
      </c>
      <c r="F118" s="108">
        <f t="shared" si="98"/>
        <v>200</v>
      </c>
      <c r="G118" s="7">
        <f t="shared" si="99"/>
        <v>0</v>
      </c>
      <c r="H118" s="123">
        <f t="shared" si="100"/>
        <v>200</v>
      </c>
      <c r="I118" s="7">
        <f t="shared" si="101"/>
        <v>0</v>
      </c>
      <c r="K118" s="108">
        <f t="shared" si="102"/>
        <v>2050</v>
      </c>
      <c r="L118" s="108">
        <f t="shared" si="103"/>
        <v>2000</v>
      </c>
      <c r="M118" s="7">
        <f t="shared" si="104"/>
        <v>2.5000000000000001E-2</v>
      </c>
      <c r="N118" s="123">
        <f t="shared" si="105"/>
        <v>2000</v>
      </c>
      <c r="O118" s="7">
        <f t="shared" si="106"/>
        <v>2.5000000000000001E-2</v>
      </c>
    </row>
    <row r="119" spans="1:18" s="5" customFormat="1" collapsed="1" x14ac:dyDescent="0.25">
      <c r="A119" s="106">
        <v>114</v>
      </c>
      <c r="B119" s="33" t="s">
        <v>77</v>
      </c>
      <c r="C119" s="33"/>
      <c r="D119" s="33"/>
      <c r="E119" s="119">
        <f>SUM(E113:E118)</f>
        <v>3186.8699999999981</v>
      </c>
      <c r="F119" s="119">
        <f>SUM(F113:F118)</f>
        <v>3365.4700000000003</v>
      </c>
      <c r="G119" s="34">
        <f t="shared" si="99"/>
        <v>-5.3068367865410228E-2</v>
      </c>
      <c r="H119" s="130">
        <f>SUM(H113:H118)</f>
        <v>3203.37</v>
      </c>
      <c r="I119" s="34">
        <f t="shared" si="101"/>
        <v>-5.1508255368570661E-3</v>
      </c>
      <c r="K119" s="119">
        <f>SUM(K113:K118)</f>
        <v>32676.1</v>
      </c>
      <c r="L119" s="119">
        <f>SUM(L113:L118)</f>
        <v>32312.100000000002</v>
      </c>
      <c r="M119" s="34">
        <f t="shared" ref="M119" si="107">IF(L119=0,"NA",(+K119-L119)/L119)</f>
        <v>1.1265129781103559E-2</v>
      </c>
      <c r="N119" s="130">
        <f>SUM(N113:N118)</f>
        <v>32217.499999999996</v>
      </c>
      <c r="O119" s="34">
        <f t="shared" ref="O119" si="108">IF(N119=0,"NA",(+K119-N119)/N119)</f>
        <v>1.4234499883603702E-2</v>
      </c>
      <c r="P119" s="14"/>
    </row>
    <row r="120" spans="1:18" ht="6.75" customHeight="1" outlineLevel="1" x14ac:dyDescent="0.25">
      <c r="A120" s="106">
        <v>115</v>
      </c>
      <c r="E120" s="110"/>
      <c r="F120" s="110"/>
      <c r="G120" s="66"/>
      <c r="H120" s="125"/>
      <c r="K120" s="110"/>
      <c r="L120" s="110"/>
      <c r="N120" s="125"/>
    </row>
    <row r="121" spans="1:18" outlineLevel="1" x14ac:dyDescent="0.25">
      <c r="A121" s="106">
        <v>116</v>
      </c>
      <c r="B121" s="5" t="s">
        <v>78</v>
      </c>
      <c r="E121" s="110"/>
      <c r="F121" s="110"/>
      <c r="G121" s="66"/>
      <c r="H121" s="125"/>
      <c r="K121" s="110"/>
      <c r="L121" s="110"/>
      <c r="N121" s="125"/>
    </row>
    <row r="122" spans="1:18" outlineLevel="1" x14ac:dyDescent="0.25">
      <c r="A122" s="106">
        <v>117</v>
      </c>
      <c r="C122" s="1" t="s">
        <v>147</v>
      </c>
      <c r="E122" s="108">
        <f t="shared" ref="E122:E131" si="109">VLOOKUP($A122,Cur_Actuals,Cur_Month+5)</f>
        <v>1333.5</v>
      </c>
      <c r="F122" s="108">
        <f t="shared" ref="F122:F131" si="110">VLOOKUP($A122,Cur_Budget,Cur_Month+5)</f>
        <v>1031.25</v>
      </c>
      <c r="G122" s="7">
        <f t="shared" ref="G122:G133" si="111">IF(F122=0,"NA",(+E122-F122)/F122)</f>
        <v>0.29309090909090907</v>
      </c>
      <c r="H122" s="123">
        <f t="shared" ref="H122:H131" si="112">VLOOKUP($A122,PY_Actual,Cur_Month+5)</f>
        <v>1261.05</v>
      </c>
      <c r="I122" s="7">
        <f t="shared" ref="I122:I133" si="113">IF(H122=0,"NA",(+E122-H122)/H122)</f>
        <v>5.7452123230641174E-2</v>
      </c>
      <c r="K122" s="108">
        <f t="shared" ref="K122:K131" si="114">VLOOKUP($A122,Cur_Actuals,Cur_Month+18)</f>
        <v>9875.48</v>
      </c>
      <c r="L122" s="108">
        <f t="shared" ref="L122:L131" si="115">VLOOKUP($A122,Cur_Budget,Cur_Month+18)</f>
        <v>10312.5</v>
      </c>
      <c r="M122" s="7">
        <f t="shared" ref="M122:M131" si="116">IF(L122=0,"NA",(+K122-L122)/L122)</f>
        <v>-4.237769696969701E-2</v>
      </c>
      <c r="N122" s="123">
        <f t="shared" ref="N122:N131" si="117">VLOOKUP($A122,PY_Actual,Cur_Month+18)</f>
        <v>10699.41</v>
      </c>
      <c r="O122" s="7">
        <f t="shared" ref="O122:O131" si="118">IF(N122=0,"NA",(+K122-N122)/N122)</f>
        <v>-7.700704992144429E-2</v>
      </c>
      <c r="R122" s="35"/>
    </row>
    <row r="123" spans="1:18" outlineLevel="1" x14ac:dyDescent="0.25">
      <c r="A123" s="106">
        <v>118</v>
      </c>
      <c r="C123" s="1" t="s">
        <v>80</v>
      </c>
      <c r="E123" s="108">
        <f t="shared" si="109"/>
        <v>3609.74</v>
      </c>
      <c r="F123" s="108">
        <f t="shared" si="110"/>
        <v>2643.17</v>
      </c>
      <c r="G123" s="7">
        <f t="shared" si="111"/>
        <v>0.36568589988536482</v>
      </c>
      <c r="H123" s="123">
        <f t="shared" si="112"/>
        <v>3658.2</v>
      </c>
      <c r="I123" s="7">
        <f t="shared" si="113"/>
        <v>-1.3246952052922213E-2</v>
      </c>
      <c r="K123" s="108">
        <f t="shared" si="114"/>
        <v>24477.800000000003</v>
      </c>
      <c r="L123" s="108">
        <f t="shared" si="115"/>
        <v>26431.699999999997</v>
      </c>
      <c r="M123" s="7">
        <f t="shared" si="116"/>
        <v>-7.3922600513776804E-2</v>
      </c>
      <c r="N123" s="123">
        <f t="shared" si="117"/>
        <v>29001.819999999996</v>
      </c>
      <c r="O123" s="7">
        <f t="shared" si="118"/>
        <v>-0.15599089988145551</v>
      </c>
      <c r="R123" s="35"/>
    </row>
    <row r="124" spans="1:18" outlineLevel="1" x14ac:dyDescent="0.25">
      <c r="A124" s="106">
        <v>119</v>
      </c>
      <c r="C124" s="1" t="s">
        <v>81</v>
      </c>
      <c r="E124" s="108">
        <f t="shared" si="109"/>
        <v>0</v>
      </c>
      <c r="F124" s="108">
        <f t="shared" si="110"/>
        <v>41.67</v>
      </c>
      <c r="G124" s="7">
        <f t="shared" si="111"/>
        <v>-1</v>
      </c>
      <c r="H124" s="123">
        <f t="shared" si="112"/>
        <v>50</v>
      </c>
      <c r="I124" s="7">
        <f t="shared" si="113"/>
        <v>-1</v>
      </c>
      <c r="K124" s="108">
        <f t="shared" si="114"/>
        <v>162.80000000000001</v>
      </c>
      <c r="L124" s="108">
        <f t="shared" si="115"/>
        <v>416.7000000000001</v>
      </c>
      <c r="M124" s="7">
        <f t="shared" si="116"/>
        <v>-0.60931125509959205</v>
      </c>
      <c r="N124" s="123">
        <f t="shared" si="117"/>
        <v>386.62</v>
      </c>
      <c r="O124" s="7">
        <f t="shared" si="118"/>
        <v>-0.57891469660131389</v>
      </c>
      <c r="R124" s="35"/>
    </row>
    <row r="125" spans="1:18" outlineLevel="1" x14ac:dyDescent="0.25">
      <c r="A125" s="106">
        <v>120</v>
      </c>
      <c r="C125" s="1" t="s">
        <v>82</v>
      </c>
      <c r="E125" s="108">
        <f t="shared" si="109"/>
        <v>0</v>
      </c>
      <c r="F125" s="108">
        <f t="shared" si="110"/>
        <v>83.33</v>
      </c>
      <c r="G125" s="7">
        <f t="shared" si="111"/>
        <v>-1</v>
      </c>
      <c r="H125" s="123">
        <f t="shared" si="112"/>
        <v>0</v>
      </c>
      <c r="I125" s="7" t="str">
        <f t="shared" si="113"/>
        <v>NA</v>
      </c>
      <c r="K125" s="108">
        <f t="shared" si="114"/>
        <v>45</v>
      </c>
      <c r="L125" s="108">
        <f t="shared" si="115"/>
        <v>833.30000000000007</v>
      </c>
      <c r="M125" s="7">
        <f t="shared" si="116"/>
        <v>-0.94599783991359654</v>
      </c>
      <c r="N125" s="123">
        <f t="shared" si="117"/>
        <v>-600</v>
      </c>
      <c r="O125" s="7">
        <f t="shared" si="118"/>
        <v>-1.075</v>
      </c>
      <c r="R125" s="35"/>
    </row>
    <row r="126" spans="1:18" outlineLevel="1" x14ac:dyDescent="0.25">
      <c r="A126" s="106">
        <v>121</v>
      </c>
      <c r="C126" s="1" t="s">
        <v>83</v>
      </c>
      <c r="E126" s="108">
        <f t="shared" si="109"/>
        <v>0</v>
      </c>
      <c r="F126" s="108">
        <f t="shared" si="110"/>
        <v>0</v>
      </c>
      <c r="G126" s="7" t="str">
        <f t="shared" si="111"/>
        <v>NA</v>
      </c>
      <c r="H126" s="123">
        <f t="shared" si="112"/>
        <v>0</v>
      </c>
      <c r="I126" s="7" t="str">
        <f t="shared" si="113"/>
        <v>NA</v>
      </c>
      <c r="K126" s="108">
        <f t="shared" si="114"/>
        <v>-21.13</v>
      </c>
      <c r="L126" s="108">
        <f t="shared" si="115"/>
        <v>0</v>
      </c>
      <c r="M126" s="7" t="str">
        <f t="shared" si="116"/>
        <v>NA</v>
      </c>
      <c r="N126" s="123">
        <f t="shared" si="117"/>
        <v>551.53</v>
      </c>
      <c r="O126" s="7">
        <f t="shared" si="118"/>
        <v>-1.0383116058963247</v>
      </c>
      <c r="Q126" s="6"/>
      <c r="R126" s="35"/>
    </row>
    <row r="127" spans="1:18" outlineLevel="1" x14ac:dyDescent="0.25">
      <c r="A127" s="106">
        <v>122</v>
      </c>
      <c r="C127" s="1" t="s">
        <v>125</v>
      </c>
      <c r="E127" s="108">
        <f t="shared" si="109"/>
        <v>2144.7600000000002</v>
      </c>
      <c r="F127" s="108">
        <f t="shared" si="110"/>
        <v>1462.5</v>
      </c>
      <c r="G127" s="7">
        <f t="shared" si="111"/>
        <v>0.46650256410256424</v>
      </c>
      <c r="H127" s="123">
        <f t="shared" si="112"/>
        <v>2119.84</v>
      </c>
      <c r="I127" s="7">
        <f t="shared" si="113"/>
        <v>1.1755604196543168E-2</v>
      </c>
      <c r="K127" s="108">
        <f t="shared" si="114"/>
        <v>14279.17</v>
      </c>
      <c r="L127" s="108">
        <f t="shared" si="115"/>
        <v>14625</v>
      </c>
      <c r="M127" s="7">
        <f t="shared" si="116"/>
        <v>-2.3646495726495721E-2</v>
      </c>
      <c r="N127" s="123">
        <f t="shared" si="117"/>
        <v>15094.35</v>
      </c>
      <c r="O127" s="7">
        <f t="shared" si="118"/>
        <v>-5.4005637871123981E-2</v>
      </c>
      <c r="R127" s="35"/>
    </row>
    <row r="128" spans="1:18" outlineLevel="1" x14ac:dyDescent="0.25">
      <c r="A128" s="106">
        <v>123</v>
      </c>
      <c r="C128" s="1" t="s">
        <v>84</v>
      </c>
      <c r="E128" s="108">
        <f t="shared" si="109"/>
        <v>772.96</v>
      </c>
      <c r="F128" s="108">
        <f t="shared" si="110"/>
        <v>821.83</v>
      </c>
      <c r="G128" s="7">
        <f t="shared" si="111"/>
        <v>-5.946485282844384E-2</v>
      </c>
      <c r="H128" s="123">
        <f t="shared" si="112"/>
        <v>797.23</v>
      </c>
      <c r="I128" s="7">
        <f t="shared" si="113"/>
        <v>-3.044290857092681E-2</v>
      </c>
      <c r="K128" s="108">
        <f t="shared" si="114"/>
        <v>6929.72</v>
      </c>
      <c r="L128" s="108">
        <f t="shared" si="115"/>
        <v>8218.3000000000011</v>
      </c>
      <c r="M128" s="7">
        <f t="shared" si="116"/>
        <v>-0.15679398415730755</v>
      </c>
      <c r="N128" s="123">
        <f t="shared" si="117"/>
        <v>7174.17</v>
      </c>
      <c r="O128" s="7">
        <f t="shared" si="118"/>
        <v>-3.4073628029444497E-2</v>
      </c>
      <c r="R128" s="35"/>
    </row>
    <row r="129" spans="1:16" outlineLevel="1" x14ac:dyDescent="0.25">
      <c r="A129" s="106">
        <v>124</v>
      </c>
      <c r="C129" s="1" t="s">
        <v>85</v>
      </c>
      <c r="E129" s="108">
        <f t="shared" si="109"/>
        <v>862.75</v>
      </c>
      <c r="F129" s="108">
        <f t="shared" si="110"/>
        <v>855.75</v>
      </c>
      <c r="G129" s="7">
        <f t="shared" si="111"/>
        <v>8.1799591002044997E-3</v>
      </c>
      <c r="H129" s="123">
        <f t="shared" si="112"/>
        <v>855.75</v>
      </c>
      <c r="I129" s="7">
        <f t="shared" si="113"/>
        <v>8.1799591002044997E-3</v>
      </c>
      <c r="K129" s="108">
        <f t="shared" si="114"/>
        <v>3437</v>
      </c>
      <c r="L129" s="108">
        <f t="shared" si="115"/>
        <v>3423</v>
      </c>
      <c r="M129" s="7">
        <f t="shared" si="116"/>
        <v>4.0899795501022499E-3</v>
      </c>
      <c r="N129" s="123">
        <f t="shared" si="117"/>
        <v>3243.5</v>
      </c>
      <c r="O129" s="7">
        <f t="shared" si="118"/>
        <v>5.965777709264683E-2</v>
      </c>
    </row>
    <row r="130" spans="1:16" outlineLevel="1" x14ac:dyDescent="0.25">
      <c r="A130" s="106">
        <v>125</v>
      </c>
      <c r="C130" s="1" t="s">
        <v>86</v>
      </c>
      <c r="E130" s="108">
        <f t="shared" si="109"/>
        <v>100</v>
      </c>
      <c r="F130" s="108">
        <f t="shared" si="110"/>
        <v>50</v>
      </c>
      <c r="G130" s="7">
        <f t="shared" si="111"/>
        <v>1</v>
      </c>
      <c r="H130" s="123">
        <f t="shared" si="112"/>
        <v>0</v>
      </c>
      <c r="I130" s="7" t="str">
        <f t="shared" si="113"/>
        <v>NA</v>
      </c>
      <c r="K130" s="108">
        <f t="shared" si="114"/>
        <v>450</v>
      </c>
      <c r="L130" s="108">
        <f t="shared" si="115"/>
        <v>500</v>
      </c>
      <c r="M130" s="7">
        <f t="shared" si="116"/>
        <v>-0.1</v>
      </c>
      <c r="N130" s="123">
        <f t="shared" si="117"/>
        <v>500</v>
      </c>
      <c r="O130" s="7">
        <f t="shared" si="118"/>
        <v>-0.1</v>
      </c>
    </row>
    <row r="131" spans="1:16" outlineLevel="1" x14ac:dyDescent="0.25">
      <c r="A131" s="106">
        <v>126</v>
      </c>
      <c r="C131" s="1" t="s">
        <v>87</v>
      </c>
      <c r="E131" s="108">
        <f t="shared" si="109"/>
        <v>0</v>
      </c>
      <c r="F131" s="108">
        <f t="shared" si="110"/>
        <v>0</v>
      </c>
      <c r="G131" s="7" t="str">
        <f t="shared" si="111"/>
        <v>NA</v>
      </c>
      <c r="H131" s="123">
        <f t="shared" si="112"/>
        <v>0</v>
      </c>
      <c r="I131" s="7" t="str">
        <f t="shared" si="113"/>
        <v>NA</v>
      </c>
      <c r="K131" s="108">
        <f t="shared" si="114"/>
        <v>0</v>
      </c>
      <c r="L131" s="108">
        <f t="shared" si="115"/>
        <v>0</v>
      </c>
      <c r="M131" s="7" t="str">
        <f t="shared" si="116"/>
        <v>NA</v>
      </c>
      <c r="N131" s="123">
        <f t="shared" si="117"/>
        <v>-5000</v>
      </c>
      <c r="O131" s="7">
        <f t="shared" si="118"/>
        <v>-1</v>
      </c>
    </row>
    <row r="132" spans="1:16" s="5" customFormat="1" x14ac:dyDescent="0.25">
      <c r="A132" s="106">
        <v>127</v>
      </c>
      <c r="B132" s="33" t="s">
        <v>79</v>
      </c>
      <c r="C132" s="33"/>
      <c r="D132" s="33"/>
      <c r="E132" s="119">
        <f>SUM(E122:E131)</f>
        <v>8823.7099999999991</v>
      </c>
      <c r="F132" s="119">
        <f>SUM(F122:F131)</f>
        <v>6989.5</v>
      </c>
      <c r="G132" s="34">
        <f t="shared" si="111"/>
        <v>0.26242363545317965</v>
      </c>
      <c r="H132" s="130">
        <f>SUM(H122:H131)</f>
        <v>8742.07</v>
      </c>
      <c r="I132" s="34">
        <f t="shared" si="113"/>
        <v>9.3387492893558868E-3</v>
      </c>
      <c r="K132" s="119">
        <f>SUM(K122:K131)</f>
        <v>59635.840000000004</v>
      </c>
      <c r="L132" s="119">
        <f>SUM(L122:L131)</f>
        <v>64760.5</v>
      </c>
      <c r="M132" s="34">
        <f t="shared" ref="M132:M133" si="119">IF(L132=0,"NA",(+K132-L132)/L132)</f>
        <v>-7.9132495888697529E-2</v>
      </c>
      <c r="N132" s="130">
        <f>SUM(N122:N131)</f>
        <v>61051.399999999994</v>
      </c>
      <c r="O132" s="34">
        <f t="shared" ref="O132:O133" si="120">IF(N132=0,"NA",(+K132-N132)/N132)</f>
        <v>-2.318636427665853E-2</v>
      </c>
      <c r="P132" s="14"/>
    </row>
    <row r="133" spans="1:16" x14ac:dyDescent="0.25">
      <c r="A133" s="106">
        <v>128</v>
      </c>
      <c r="B133" s="33" t="s">
        <v>88</v>
      </c>
      <c r="C133" s="33"/>
      <c r="D133" s="44" t="str">
        <f>0*100%&amp;"% Cost of Living"</f>
        <v>0% Cost of Living</v>
      </c>
      <c r="E133" s="119">
        <f>+E91+E96+E101+E110+E119+E132</f>
        <v>28188.849999999995</v>
      </c>
      <c r="F133" s="119">
        <f>+F91+F96+F101+F110+F119+F132</f>
        <v>28002.230000000003</v>
      </c>
      <c r="G133" s="34">
        <f t="shared" si="111"/>
        <v>6.6644692226294723E-3</v>
      </c>
      <c r="H133" s="130">
        <f t="shared" ref="H133" si="121">+H91+H96+H101+H110+H119+H132</f>
        <v>28456.169999999995</v>
      </c>
      <c r="I133" s="34">
        <f t="shared" si="113"/>
        <v>-9.3940962539934142E-3</v>
      </c>
      <c r="K133" s="119">
        <f t="shared" ref="K133:L133" si="122">+K91+K96+K101+K110+K119+K132</f>
        <v>268321.28000000003</v>
      </c>
      <c r="L133" s="119">
        <f t="shared" si="122"/>
        <v>273545.19999999995</v>
      </c>
      <c r="M133" s="34">
        <f t="shared" si="119"/>
        <v>-1.9097099857719773E-2</v>
      </c>
      <c r="N133" s="130">
        <f t="shared" ref="N133" si="123">+N91+N96+N101+N110+N119+N132</f>
        <v>267850.59999999998</v>
      </c>
      <c r="O133" s="34">
        <f t="shared" si="120"/>
        <v>1.7572482570509503E-3</v>
      </c>
    </row>
    <row r="134" spans="1:16" ht="8.25" customHeight="1" x14ac:dyDescent="0.25">
      <c r="A134" s="106">
        <v>129</v>
      </c>
      <c r="E134" s="110"/>
      <c r="F134" s="110"/>
      <c r="G134" s="66"/>
      <c r="H134" s="125"/>
      <c r="K134" s="110"/>
      <c r="L134" s="110"/>
      <c r="N134" s="125"/>
    </row>
    <row r="135" spans="1:16" ht="18.75" x14ac:dyDescent="0.25">
      <c r="A135" s="106">
        <v>130</v>
      </c>
      <c r="B135" s="11" t="s">
        <v>89</v>
      </c>
      <c r="E135" s="110"/>
      <c r="F135" s="110"/>
      <c r="G135" s="66"/>
      <c r="H135" s="125"/>
      <c r="K135" s="110"/>
      <c r="L135" s="110"/>
      <c r="N135" s="125"/>
    </row>
    <row r="136" spans="1:16" outlineLevel="2" x14ac:dyDescent="0.25">
      <c r="A136" s="106">
        <v>131</v>
      </c>
      <c r="B136" s="5" t="s">
        <v>90</v>
      </c>
      <c r="E136" s="110"/>
      <c r="F136" s="110"/>
      <c r="G136" s="66"/>
      <c r="H136" s="125"/>
      <c r="K136" s="110"/>
      <c r="L136" s="110"/>
      <c r="N136" s="125"/>
    </row>
    <row r="137" spans="1:16" outlineLevel="2" x14ac:dyDescent="0.25">
      <c r="A137" s="106">
        <v>132</v>
      </c>
      <c r="C137" s="1" t="s">
        <v>92</v>
      </c>
      <c r="E137" s="108">
        <f t="shared" ref="E137:E143" si="124">VLOOKUP($A137,Cur_Actuals,Cur_Month+5)</f>
        <v>1513.35</v>
      </c>
      <c r="F137" s="108">
        <f t="shared" ref="F137:F143" si="125">VLOOKUP($A137,Cur_Budget,Cur_Month+5)</f>
        <v>1500</v>
      </c>
      <c r="G137" s="7">
        <f t="shared" ref="G137:G144" si="126">IF(F137=0,"NA",(+E137-F137)/F137)</f>
        <v>8.8999999999999392E-3</v>
      </c>
      <c r="H137" s="123">
        <f t="shared" ref="H137:H143" si="127">VLOOKUP($A137,PY_Actual,Cur_Month+5)</f>
        <v>1361.05</v>
      </c>
      <c r="I137" s="7">
        <f t="shared" ref="I137:I144" si="128">IF(H137=0,"NA",(+E137-H137)/H137)</f>
        <v>0.11189890158333636</v>
      </c>
      <c r="K137" s="108">
        <f t="shared" ref="K137:K143" si="129">VLOOKUP($A137,Cur_Actuals,Cur_Month+18)</f>
        <v>13452.82</v>
      </c>
      <c r="L137" s="108">
        <f t="shared" ref="L137:L143" si="130">VLOOKUP($A137,Cur_Budget,Cur_Month+18)</f>
        <v>15000</v>
      </c>
      <c r="M137" s="7">
        <f t="shared" ref="M137:M143" si="131">IF(L137=0,"NA",(+K137-L137)/L137)</f>
        <v>-0.10314533333333335</v>
      </c>
      <c r="N137" s="123">
        <f t="shared" ref="N137:N143" si="132">VLOOKUP($A137,PY_Actual,Cur_Month+18)</f>
        <v>15220.969999999998</v>
      </c>
      <c r="O137" s="7">
        <f t="shared" ref="O137:O143" si="133">IF(N137=0,"NA",(+K137-N137)/N137)</f>
        <v>-0.11616539550370299</v>
      </c>
    </row>
    <row r="138" spans="1:16" outlineLevel="2" x14ac:dyDescent="0.25">
      <c r="A138" s="106">
        <v>133</v>
      </c>
      <c r="C138" s="1" t="s">
        <v>93</v>
      </c>
      <c r="E138" s="108">
        <f t="shared" si="124"/>
        <v>866</v>
      </c>
      <c r="F138" s="108">
        <f t="shared" si="125"/>
        <v>838</v>
      </c>
      <c r="G138" s="7">
        <f t="shared" si="126"/>
        <v>3.3412887828162291E-2</v>
      </c>
      <c r="H138" s="123">
        <f t="shared" si="127"/>
        <v>838</v>
      </c>
      <c r="I138" s="7">
        <f t="shared" si="128"/>
        <v>3.3412887828162291E-2</v>
      </c>
      <c r="K138" s="108">
        <f t="shared" si="129"/>
        <v>7779.28</v>
      </c>
      <c r="L138" s="108">
        <f t="shared" si="130"/>
        <v>8380</v>
      </c>
      <c r="M138" s="7">
        <f t="shared" si="131"/>
        <v>-7.1684964200477361E-2</v>
      </c>
      <c r="N138" s="123">
        <f t="shared" si="132"/>
        <v>6948.55</v>
      </c>
      <c r="O138" s="7">
        <f t="shared" si="133"/>
        <v>0.11955443941541755</v>
      </c>
    </row>
    <row r="139" spans="1:16" outlineLevel="2" x14ac:dyDescent="0.25">
      <c r="A139" s="106">
        <v>134</v>
      </c>
      <c r="C139" s="1" t="s">
        <v>94</v>
      </c>
      <c r="E139" s="108">
        <f t="shared" si="124"/>
        <v>413.4</v>
      </c>
      <c r="F139" s="108">
        <f t="shared" si="125"/>
        <v>340</v>
      </c>
      <c r="G139" s="7">
        <f t="shared" si="126"/>
        <v>0.21588235294117641</v>
      </c>
      <c r="H139" s="123">
        <f t="shared" si="127"/>
        <v>320.61</v>
      </c>
      <c r="I139" s="7">
        <f t="shared" si="128"/>
        <v>0.28941704875081864</v>
      </c>
      <c r="K139" s="108">
        <f t="shared" si="129"/>
        <v>3392.54</v>
      </c>
      <c r="L139" s="108">
        <f t="shared" si="130"/>
        <v>3400</v>
      </c>
      <c r="M139" s="7">
        <f t="shared" si="131"/>
        <v>-2.1941176470588342E-3</v>
      </c>
      <c r="N139" s="123">
        <f t="shared" si="132"/>
        <v>3488.55</v>
      </c>
      <c r="O139" s="7">
        <f t="shared" si="133"/>
        <v>-2.7521463072050053E-2</v>
      </c>
    </row>
    <row r="140" spans="1:16" outlineLevel="2" x14ac:dyDescent="0.25">
      <c r="A140" s="106">
        <v>135</v>
      </c>
      <c r="C140" s="1" t="s">
        <v>95</v>
      </c>
      <c r="E140" s="108">
        <f t="shared" si="124"/>
        <v>255.18</v>
      </c>
      <c r="F140" s="108">
        <f t="shared" si="125"/>
        <v>200</v>
      </c>
      <c r="G140" s="7">
        <f t="shared" si="126"/>
        <v>0.27590000000000003</v>
      </c>
      <c r="H140" s="123">
        <f t="shared" si="127"/>
        <v>193.76</v>
      </c>
      <c r="I140" s="7">
        <f t="shared" si="128"/>
        <v>0.31699009083402158</v>
      </c>
      <c r="K140" s="108">
        <f t="shared" si="129"/>
        <v>815.83999999999992</v>
      </c>
      <c r="L140" s="108">
        <f t="shared" si="130"/>
        <v>800</v>
      </c>
      <c r="M140" s="7">
        <f t="shared" si="131"/>
        <v>1.9799999999999898E-2</v>
      </c>
      <c r="N140" s="123">
        <f t="shared" si="132"/>
        <v>770.44</v>
      </c>
      <c r="O140" s="7">
        <f t="shared" si="133"/>
        <v>5.8927366180364288E-2</v>
      </c>
    </row>
    <row r="141" spans="1:16" outlineLevel="2" x14ac:dyDescent="0.25">
      <c r="A141" s="106">
        <v>136</v>
      </c>
      <c r="C141" s="1" t="s">
        <v>96</v>
      </c>
      <c r="E141" s="108">
        <f t="shared" si="124"/>
        <v>276.5</v>
      </c>
      <c r="F141" s="108">
        <f t="shared" si="125"/>
        <v>275</v>
      </c>
      <c r="G141" s="7">
        <f t="shared" si="126"/>
        <v>5.454545454545455E-3</v>
      </c>
      <c r="H141" s="123">
        <f t="shared" si="127"/>
        <v>276.5</v>
      </c>
      <c r="I141" s="7">
        <f t="shared" si="128"/>
        <v>0</v>
      </c>
      <c r="K141" s="108">
        <f t="shared" si="129"/>
        <v>2691.3</v>
      </c>
      <c r="L141" s="108">
        <f t="shared" si="130"/>
        <v>2750</v>
      </c>
      <c r="M141" s="7">
        <f t="shared" si="131"/>
        <v>-2.134545454545448E-2</v>
      </c>
      <c r="N141" s="123">
        <f t="shared" si="132"/>
        <v>2695.88</v>
      </c>
      <c r="O141" s="7">
        <f t="shared" si="133"/>
        <v>-1.6988886745700578E-3</v>
      </c>
    </row>
    <row r="142" spans="1:16" outlineLevel="2" x14ac:dyDescent="0.25">
      <c r="A142" s="106">
        <v>137</v>
      </c>
      <c r="C142" s="1" t="s">
        <v>97</v>
      </c>
      <c r="E142" s="108">
        <f t="shared" si="124"/>
        <v>289.57</v>
      </c>
      <c r="F142" s="108">
        <f t="shared" si="125"/>
        <v>225</v>
      </c>
      <c r="G142" s="7">
        <f t="shared" si="126"/>
        <v>0.28697777777777772</v>
      </c>
      <c r="H142" s="123">
        <f t="shared" si="127"/>
        <v>324.48</v>
      </c>
      <c r="I142" s="7">
        <f t="shared" si="128"/>
        <v>-0.10758752465483241</v>
      </c>
      <c r="K142" s="108">
        <f t="shared" si="129"/>
        <v>2488.1000000000004</v>
      </c>
      <c r="L142" s="108">
        <f t="shared" si="130"/>
        <v>2250</v>
      </c>
      <c r="M142" s="7">
        <f t="shared" si="131"/>
        <v>0.10582222222222239</v>
      </c>
      <c r="N142" s="123">
        <f t="shared" si="132"/>
        <v>2991.75</v>
      </c>
      <c r="O142" s="7">
        <f t="shared" si="133"/>
        <v>-0.16834628561878487</v>
      </c>
    </row>
    <row r="143" spans="1:16" outlineLevel="2" x14ac:dyDescent="0.25">
      <c r="A143" s="106">
        <v>138</v>
      </c>
      <c r="C143" s="1" t="s">
        <v>98</v>
      </c>
      <c r="E143" s="108">
        <f t="shared" si="124"/>
        <v>0</v>
      </c>
      <c r="F143" s="108">
        <f t="shared" si="125"/>
        <v>0</v>
      </c>
      <c r="G143" s="7" t="str">
        <f t="shared" si="126"/>
        <v>NA</v>
      </c>
      <c r="H143" s="123">
        <f t="shared" si="127"/>
        <v>0</v>
      </c>
      <c r="I143" s="7" t="str">
        <f t="shared" si="128"/>
        <v>NA</v>
      </c>
      <c r="K143" s="108">
        <f t="shared" si="129"/>
        <v>3360.83</v>
      </c>
      <c r="L143" s="108">
        <f t="shared" si="130"/>
        <v>3300</v>
      </c>
      <c r="M143" s="7">
        <f t="shared" si="131"/>
        <v>1.8433333333333312E-2</v>
      </c>
      <c r="N143" s="123">
        <f t="shared" si="132"/>
        <v>3258.63</v>
      </c>
      <c r="O143" s="7">
        <f t="shared" si="133"/>
        <v>3.1362873354753323E-2</v>
      </c>
    </row>
    <row r="144" spans="1:16" s="5" customFormat="1" x14ac:dyDescent="0.25">
      <c r="A144" s="106">
        <v>139</v>
      </c>
      <c r="B144" s="36" t="s">
        <v>99</v>
      </c>
      <c r="C144" s="36"/>
      <c r="D144" s="36"/>
      <c r="E144" s="120">
        <f>SUM(E137:E143)</f>
        <v>3614</v>
      </c>
      <c r="F144" s="120">
        <f>SUM(F137:F143)</f>
        <v>3378</v>
      </c>
      <c r="G144" s="37">
        <f t="shared" si="126"/>
        <v>6.9863824748371814E-2</v>
      </c>
      <c r="H144" s="131">
        <f>SUM(H137:H143)</f>
        <v>3314.4</v>
      </c>
      <c r="I144" s="37">
        <f t="shared" si="128"/>
        <v>9.039343470914793E-2</v>
      </c>
      <c r="K144" s="120">
        <f>SUM(K137:K143)</f>
        <v>33980.71</v>
      </c>
      <c r="L144" s="120">
        <f>SUM(L137:L143)</f>
        <v>35880</v>
      </c>
      <c r="M144" s="37">
        <f t="shared" ref="M144" si="134">IF(L144=0,"NA",(+K144-L144)/L144)</f>
        <v>-5.2934503901895233E-2</v>
      </c>
      <c r="N144" s="131">
        <f>SUM(N137:N143)</f>
        <v>35374.769999999997</v>
      </c>
      <c r="O144" s="37">
        <f t="shared" ref="O144" si="135">IF(N144=0,"NA",(+K144-N144)/N144)</f>
        <v>-3.9408312760761351E-2</v>
      </c>
      <c r="P144" s="14"/>
    </row>
    <row r="145" spans="1:16" s="5" customFormat="1" ht="6.75" customHeight="1" outlineLevel="1" x14ac:dyDescent="0.25">
      <c r="A145" s="106">
        <v>140</v>
      </c>
      <c r="B145" s="22"/>
      <c r="C145" s="22"/>
      <c r="D145" s="22"/>
      <c r="E145" s="114"/>
      <c r="F145" s="114"/>
      <c r="G145" s="25"/>
      <c r="H145" s="132"/>
      <c r="I145" s="25"/>
      <c r="K145" s="114"/>
      <c r="L145" s="114"/>
      <c r="M145" s="25"/>
      <c r="N145" s="132"/>
      <c r="O145" s="25"/>
      <c r="P145" s="14"/>
    </row>
    <row r="146" spans="1:16" outlineLevel="1" x14ac:dyDescent="0.25">
      <c r="A146" s="106">
        <v>141</v>
      </c>
      <c r="B146" s="5" t="s">
        <v>100</v>
      </c>
      <c r="E146" s="110"/>
      <c r="F146" s="110"/>
      <c r="G146" s="66"/>
      <c r="H146" s="125"/>
      <c r="K146" s="110"/>
      <c r="L146" s="110"/>
      <c r="N146" s="125"/>
    </row>
    <row r="147" spans="1:16" outlineLevel="1" x14ac:dyDescent="0.25">
      <c r="A147" s="106">
        <v>142</v>
      </c>
      <c r="C147" s="1" t="s">
        <v>101</v>
      </c>
      <c r="E147" s="108">
        <f t="shared" ref="E147:E154" si="136">VLOOKUP($A147,Cur_Actuals,Cur_Month+5)</f>
        <v>3103.5</v>
      </c>
      <c r="F147" s="108">
        <f t="shared" ref="F147:F154" si="137">VLOOKUP($A147,Cur_Budget,Cur_Month+5)</f>
        <v>3025</v>
      </c>
      <c r="G147" s="7">
        <f t="shared" ref="G147:G156" si="138">IF(F147=0,"NA",(+E147-F147)/F147)</f>
        <v>2.5950413223140494E-2</v>
      </c>
      <c r="H147" s="123">
        <f t="shared" ref="H147:H154" si="139">VLOOKUP($A147,PY_Actual,Cur_Month+5)</f>
        <v>3023.75</v>
      </c>
      <c r="I147" s="7">
        <f t="shared" ref="I147:I156" si="140">IF(H147=0,"NA",(+E147-H147)/H147)</f>
        <v>2.6374534931789997E-2</v>
      </c>
      <c r="K147" s="108">
        <f t="shared" ref="K147:K154" si="141">VLOOKUP($A147,Cur_Actuals,Cur_Month+18)</f>
        <v>12966.47</v>
      </c>
      <c r="L147" s="108">
        <f t="shared" ref="L147:L154" si="142">VLOOKUP($A147,Cur_Budget,Cur_Month+18)</f>
        <v>12100</v>
      </c>
      <c r="M147" s="7">
        <f t="shared" ref="M147:M154" si="143">IF(L147=0,"NA",(+K147-L147)/L147)</f>
        <v>7.1609090909090858E-2</v>
      </c>
      <c r="N147" s="123">
        <f t="shared" ref="N147:N154" si="144">VLOOKUP($A147,PY_Actual,Cur_Month+18)</f>
        <v>11875.5</v>
      </c>
      <c r="O147" s="7">
        <f t="shared" ref="O147:O154" si="145">IF(N147=0,"NA",(+K147-N147)/N147)</f>
        <v>9.1867289798324231E-2</v>
      </c>
    </row>
    <row r="148" spans="1:16" outlineLevel="1" x14ac:dyDescent="0.25">
      <c r="A148" s="106">
        <v>143</v>
      </c>
      <c r="C148" s="1" t="s">
        <v>102</v>
      </c>
      <c r="E148" s="108">
        <f t="shared" si="136"/>
        <v>0</v>
      </c>
      <c r="F148" s="108">
        <f t="shared" si="137"/>
        <v>0</v>
      </c>
      <c r="G148" s="7" t="str">
        <f t="shared" si="138"/>
        <v>NA</v>
      </c>
      <c r="H148" s="123">
        <f t="shared" si="139"/>
        <v>0</v>
      </c>
      <c r="I148" s="7" t="str">
        <f t="shared" si="140"/>
        <v>NA</v>
      </c>
      <c r="K148" s="108">
        <f t="shared" si="141"/>
        <v>5317.15</v>
      </c>
      <c r="L148" s="108">
        <f t="shared" si="142"/>
        <v>3000</v>
      </c>
      <c r="M148" s="7">
        <f t="shared" si="143"/>
        <v>0.7723833333333332</v>
      </c>
      <c r="N148" s="123">
        <f t="shared" si="144"/>
        <v>2743.5</v>
      </c>
      <c r="O148" s="7">
        <f t="shared" si="145"/>
        <v>0.93809003098232169</v>
      </c>
    </row>
    <row r="149" spans="1:16" outlineLevel="1" x14ac:dyDescent="0.25">
      <c r="A149" s="106">
        <v>144</v>
      </c>
      <c r="C149" s="1" t="s">
        <v>103</v>
      </c>
      <c r="E149" s="108">
        <f t="shared" si="136"/>
        <v>347.1</v>
      </c>
      <c r="F149" s="108">
        <f t="shared" si="137"/>
        <v>208.33</v>
      </c>
      <c r="G149" s="7">
        <f t="shared" si="138"/>
        <v>0.66610665770652333</v>
      </c>
      <c r="H149" s="123">
        <f t="shared" si="139"/>
        <v>70.98</v>
      </c>
      <c r="I149" s="7">
        <f t="shared" si="140"/>
        <v>3.8901098901098901</v>
      </c>
      <c r="K149" s="108">
        <f t="shared" si="141"/>
        <v>1894.38</v>
      </c>
      <c r="L149" s="108">
        <f t="shared" si="142"/>
        <v>2083.2999999999997</v>
      </c>
      <c r="M149" s="7">
        <f t="shared" si="143"/>
        <v>-9.0683050928814693E-2</v>
      </c>
      <c r="N149" s="123">
        <f t="shared" si="144"/>
        <v>1844.53</v>
      </c>
      <c r="O149" s="7">
        <f t="shared" si="145"/>
        <v>2.7025854824806395E-2</v>
      </c>
    </row>
    <row r="150" spans="1:16" ht="28.5" customHeight="1" outlineLevel="1" x14ac:dyDescent="0.25">
      <c r="A150" s="106">
        <v>145</v>
      </c>
      <c r="C150" s="223" t="s">
        <v>129</v>
      </c>
      <c r="D150" s="223"/>
      <c r="E150" s="108">
        <f t="shared" si="136"/>
        <v>428.61</v>
      </c>
      <c r="F150" s="108">
        <f t="shared" si="137"/>
        <v>333.33</v>
      </c>
      <c r="G150" s="7">
        <f t="shared" si="138"/>
        <v>0.28584285842858437</v>
      </c>
      <c r="H150" s="123">
        <f t="shared" si="139"/>
        <v>361.75</v>
      </c>
      <c r="I150" s="7">
        <f t="shared" si="140"/>
        <v>0.1848237733241189</v>
      </c>
      <c r="K150" s="108">
        <f t="shared" si="141"/>
        <v>3170.9500000000003</v>
      </c>
      <c r="L150" s="108">
        <f t="shared" si="142"/>
        <v>3333.2999999999997</v>
      </c>
      <c r="M150" s="7">
        <f t="shared" si="143"/>
        <v>-4.8705487054870392E-2</v>
      </c>
      <c r="N150" s="123">
        <f t="shared" si="144"/>
        <v>2795.6400000000003</v>
      </c>
      <c r="O150" s="7">
        <f t="shared" si="145"/>
        <v>0.13424832954171492</v>
      </c>
    </row>
    <row r="151" spans="1:16" outlineLevel="1" x14ac:dyDescent="0.25">
      <c r="A151" s="106">
        <v>146</v>
      </c>
      <c r="C151" s="1" t="s">
        <v>104</v>
      </c>
      <c r="E151" s="108">
        <f t="shared" si="136"/>
        <v>0</v>
      </c>
      <c r="F151" s="108">
        <f t="shared" si="137"/>
        <v>500</v>
      </c>
      <c r="G151" s="7">
        <f t="shared" si="138"/>
        <v>-1</v>
      </c>
      <c r="H151" s="123">
        <f t="shared" si="139"/>
        <v>342.48</v>
      </c>
      <c r="I151" s="7">
        <f t="shared" si="140"/>
        <v>-1</v>
      </c>
      <c r="K151" s="108">
        <f t="shared" si="141"/>
        <v>2998.28</v>
      </c>
      <c r="L151" s="108">
        <f t="shared" si="142"/>
        <v>5000</v>
      </c>
      <c r="M151" s="7">
        <f t="shared" si="143"/>
        <v>-0.40034399999999998</v>
      </c>
      <c r="N151" s="123">
        <f t="shared" si="144"/>
        <v>2899.72</v>
      </c>
      <c r="O151" s="7">
        <f t="shared" si="145"/>
        <v>3.3989488640282652E-2</v>
      </c>
    </row>
    <row r="152" spans="1:16" outlineLevel="1" x14ac:dyDescent="0.25">
      <c r="A152" s="106">
        <v>147</v>
      </c>
      <c r="C152" s="1" t="s">
        <v>105</v>
      </c>
      <c r="E152" s="108">
        <f t="shared" si="136"/>
        <v>0</v>
      </c>
      <c r="F152" s="108">
        <f t="shared" si="137"/>
        <v>0</v>
      </c>
      <c r="G152" s="7" t="str">
        <f t="shared" si="138"/>
        <v>NA</v>
      </c>
      <c r="H152" s="123">
        <f t="shared" si="139"/>
        <v>0</v>
      </c>
      <c r="I152" s="7" t="str">
        <f t="shared" si="140"/>
        <v>NA</v>
      </c>
      <c r="K152" s="108">
        <f t="shared" si="141"/>
        <v>0</v>
      </c>
      <c r="L152" s="108">
        <f t="shared" si="142"/>
        <v>0</v>
      </c>
      <c r="M152" s="7" t="str">
        <f t="shared" si="143"/>
        <v>NA</v>
      </c>
      <c r="N152" s="123">
        <f t="shared" si="144"/>
        <v>0</v>
      </c>
      <c r="O152" s="7" t="str">
        <f t="shared" si="145"/>
        <v>NA</v>
      </c>
    </row>
    <row r="153" spans="1:16" outlineLevel="1" x14ac:dyDescent="0.25">
      <c r="A153" s="106">
        <v>148</v>
      </c>
      <c r="C153" s="1" t="s">
        <v>107</v>
      </c>
      <c r="E153" s="108">
        <f t="shared" si="136"/>
        <v>4573</v>
      </c>
      <c r="F153" s="108">
        <f t="shared" si="137"/>
        <v>4575</v>
      </c>
      <c r="G153" s="7">
        <f t="shared" si="138"/>
        <v>-4.3715846994535519E-4</v>
      </c>
      <c r="H153" s="123">
        <f t="shared" si="139"/>
        <v>4573</v>
      </c>
      <c r="I153" s="7">
        <f t="shared" si="140"/>
        <v>0</v>
      </c>
      <c r="K153" s="108">
        <f t="shared" si="141"/>
        <v>45730</v>
      </c>
      <c r="L153" s="108">
        <f t="shared" si="142"/>
        <v>45750</v>
      </c>
      <c r="M153" s="7">
        <f t="shared" si="143"/>
        <v>-4.3715846994535519E-4</v>
      </c>
      <c r="N153" s="123">
        <f t="shared" si="144"/>
        <v>45730</v>
      </c>
      <c r="O153" s="7">
        <f t="shared" si="145"/>
        <v>0</v>
      </c>
    </row>
    <row r="154" spans="1:16" outlineLevel="1" x14ac:dyDescent="0.25">
      <c r="A154" s="106">
        <v>149</v>
      </c>
      <c r="C154" s="1" t="s">
        <v>106</v>
      </c>
      <c r="E154" s="108">
        <f t="shared" si="136"/>
        <v>0</v>
      </c>
      <c r="F154" s="108">
        <f t="shared" si="137"/>
        <v>57</v>
      </c>
      <c r="G154" s="7">
        <f t="shared" si="138"/>
        <v>-1</v>
      </c>
      <c r="H154" s="123">
        <f t="shared" si="139"/>
        <v>108.75</v>
      </c>
      <c r="I154" s="7">
        <f t="shared" si="140"/>
        <v>-1</v>
      </c>
      <c r="K154" s="108">
        <f t="shared" si="141"/>
        <v>292.27</v>
      </c>
      <c r="L154" s="108">
        <f t="shared" si="142"/>
        <v>570</v>
      </c>
      <c r="M154" s="7">
        <f t="shared" si="143"/>
        <v>-0.48724561403508776</v>
      </c>
      <c r="N154" s="123">
        <f t="shared" si="144"/>
        <v>546.31000000000006</v>
      </c>
      <c r="O154" s="7">
        <f t="shared" si="145"/>
        <v>-0.46501070820596374</v>
      </c>
    </row>
    <row r="155" spans="1:16" s="5" customFormat="1" x14ac:dyDescent="0.25">
      <c r="A155" s="106">
        <v>150</v>
      </c>
      <c r="B155" s="36" t="s">
        <v>108</v>
      </c>
      <c r="C155" s="36"/>
      <c r="D155" s="36"/>
      <c r="E155" s="120">
        <f>SUM(E147:E154)</f>
        <v>8452.2099999999991</v>
      </c>
      <c r="F155" s="120">
        <f>SUM(F147:F154)</f>
        <v>8698.66</v>
      </c>
      <c r="G155" s="37">
        <f t="shared" si="138"/>
        <v>-2.8331949978502521E-2</v>
      </c>
      <c r="H155" s="131">
        <f>SUM(H147:H154)</f>
        <v>8480.7099999999991</v>
      </c>
      <c r="I155" s="37">
        <f t="shared" si="140"/>
        <v>-3.3605676883185494E-3</v>
      </c>
      <c r="K155" s="120">
        <f>SUM(K147:K154)</f>
        <v>72369.5</v>
      </c>
      <c r="L155" s="120">
        <f>SUM(L147:L154)</f>
        <v>71836.600000000006</v>
      </c>
      <c r="M155" s="37">
        <f t="shared" ref="M155:M156" si="146">IF(L155=0,"NA",(+K155-L155)/L155)</f>
        <v>7.4182241364429014E-3</v>
      </c>
      <c r="N155" s="131">
        <f>SUM(N147:N154)</f>
        <v>68435.199999999997</v>
      </c>
      <c r="O155" s="37">
        <f t="shared" ref="O155:O156" si="147">IF(N155=0,"NA",(+K155-N155)/N155)</f>
        <v>5.7489420649022772E-2</v>
      </c>
      <c r="P155" s="14"/>
    </row>
    <row r="156" spans="1:16" x14ac:dyDescent="0.25">
      <c r="A156" s="106">
        <v>151</v>
      </c>
      <c r="B156" s="36" t="s">
        <v>109</v>
      </c>
      <c r="C156" s="36"/>
      <c r="D156" s="36"/>
      <c r="E156" s="120">
        <f>+E144+E155</f>
        <v>12066.21</v>
      </c>
      <c r="F156" s="120">
        <f>+F144+F155</f>
        <v>12076.66</v>
      </c>
      <c r="G156" s="37">
        <f t="shared" si="138"/>
        <v>-8.6530547353330536E-4</v>
      </c>
      <c r="H156" s="131">
        <f t="shared" ref="H156" si="148">+H144+H155</f>
        <v>11795.109999999999</v>
      </c>
      <c r="I156" s="37">
        <f t="shared" si="140"/>
        <v>2.2984101038481235E-2</v>
      </c>
      <c r="K156" s="120">
        <f t="shared" ref="K156:L156" si="149">+K144+K155</f>
        <v>106350.20999999999</v>
      </c>
      <c r="L156" s="120">
        <f t="shared" si="149"/>
        <v>107716.6</v>
      </c>
      <c r="M156" s="37">
        <f t="shared" si="146"/>
        <v>-1.2685045758963929E-2</v>
      </c>
      <c r="N156" s="131">
        <f t="shared" ref="N156" si="150">+N144+N155</f>
        <v>103809.97</v>
      </c>
      <c r="O156" s="37">
        <f t="shared" si="147"/>
        <v>2.4470096658345923E-2</v>
      </c>
    </row>
    <row r="157" spans="1:16" ht="4.5" customHeight="1" x14ac:dyDescent="0.25">
      <c r="A157" s="106">
        <v>152</v>
      </c>
      <c r="E157" s="110"/>
      <c r="F157" s="110"/>
      <c r="G157" s="66"/>
      <c r="H157" s="125"/>
      <c r="K157" s="110"/>
      <c r="L157" s="110"/>
      <c r="N157" s="125"/>
    </row>
    <row r="158" spans="1:16" ht="18.75" x14ac:dyDescent="0.25">
      <c r="A158" s="106">
        <v>153</v>
      </c>
      <c r="B158" s="11" t="s">
        <v>110</v>
      </c>
      <c r="E158" s="110"/>
      <c r="F158" s="110"/>
      <c r="G158" s="66"/>
      <c r="H158" s="125"/>
      <c r="K158" s="110"/>
      <c r="L158" s="110"/>
      <c r="N158" s="125"/>
    </row>
    <row r="159" spans="1:16" hidden="1" outlineLevel="1" x14ac:dyDescent="0.25">
      <c r="A159" s="106">
        <v>154</v>
      </c>
      <c r="B159" s="5" t="s">
        <v>111</v>
      </c>
      <c r="E159" s="110"/>
      <c r="F159" s="110"/>
      <c r="G159" s="66"/>
      <c r="H159" s="125"/>
      <c r="K159" s="110"/>
      <c r="L159" s="110"/>
      <c r="N159" s="125"/>
    </row>
    <row r="160" spans="1:16" hidden="1" outlineLevel="1" x14ac:dyDescent="0.25">
      <c r="A160" s="106">
        <v>155</v>
      </c>
      <c r="C160" s="1" t="s">
        <v>112</v>
      </c>
      <c r="E160" s="108">
        <f>VLOOKUP($A160,Cur_Actuals,Cur_Month+5)</f>
        <v>0</v>
      </c>
      <c r="F160" s="108">
        <f>VLOOKUP($A160,Cur_Budget,Cur_Month+5)</f>
        <v>0</v>
      </c>
      <c r="G160" s="7" t="str">
        <f t="shared" ref="G160:G164" si="151">IF(F160=0,"NA",(+E160-F160)/F160)</f>
        <v>NA</v>
      </c>
      <c r="H160" s="123">
        <f>VLOOKUP($A160,PY_Actual,Cur_Month+5)</f>
        <v>0</v>
      </c>
      <c r="I160" s="7" t="str">
        <f>IF(H160=0,"NA",(+E160-H160)/H160)</f>
        <v>NA</v>
      </c>
      <c r="K160" s="108">
        <f>VLOOKUP($A160,Cur_Actuals,Cur_Month+18)</f>
        <v>0</v>
      </c>
      <c r="L160" s="108">
        <f>VLOOKUP($A160,Cur_Budget,Cur_Month+18)</f>
        <v>0</v>
      </c>
      <c r="M160" s="7" t="str">
        <f t="shared" ref="M160:M163" si="152">IF(L160=0,"NA",(+K160-L160)/L160)</f>
        <v>NA</v>
      </c>
      <c r="N160" s="123">
        <f>VLOOKUP($A160,PY_Actual,Cur_Month+18)</f>
        <v>0</v>
      </c>
      <c r="O160" s="7" t="str">
        <f t="shared" ref="O160:O163" si="153">IF(N160=0,"NA",(+K160-N160)/N160)</f>
        <v>NA</v>
      </c>
    </row>
    <row r="161" spans="1:16" hidden="1" outlineLevel="1" x14ac:dyDescent="0.25">
      <c r="A161" s="106">
        <v>156</v>
      </c>
      <c r="C161" s="1" t="s">
        <v>113</v>
      </c>
      <c r="E161" s="108">
        <f>VLOOKUP($A161,Cur_Actuals,Cur_Month+5)</f>
        <v>0</v>
      </c>
      <c r="F161" s="108">
        <f>VLOOKUP($A161,Cur_Budget,Cur_Month+5)</f>
        <v>0</v>
      </c>
      <c r="G161" s="7" t="str">
        <f t="shared" si="151"/>
        <v>NA</v>
      </c>
      <c r="H161" s="123">
        <f>VLOOKUP($A161,PY_Actual,Cur_Month+5)</f>
        <v>0</v>
      </c>
      <c r="I161" s="7" t="str">
        <f>IF(H161=0,"NA",(+E161-H161)/H161)</f>
        <v>NA</v>
      </c>
      <c r="K161" s="108">
        <f>VLOOKUP($A161,Cur_Actuals,Cur_Month+18)</f>
        <v>0</v>
      </c>
      <c r="L161" s="108">
        <f>VLOOKUP($A161,Cur_Budget,Cur_Month+18)</f>
        <v>3386.25</v>
      </c>
      <c r="M161" s="7">
        <f t="shared" si="152"/>
        <v>-1</v>
      </c>
      <c r="N161" s="123">
        <f>VLOOKUP($A161,PY_Actual,Cur_Month+18)</f>
        <v>2500</v>
      </c>
      <c r="O161" s="7">
        <f t="shared" si="153"/>
        <v>-1</v>
      </c>
    </row>
    <row r="162" spans="1:16" hidden="1" outlineLevel="1" x14ac:dyDescent="0.25">
      <c r="A162" s="106">
        <v>157</v>
      </c>
      <c r="C162" s="1" t="s">
        <v>114</v>
      </c>
      <c r="E162" s="108">
        <f>VLOOKUP($A162,Cur_Actuals,Cur_Month+5)</f>
        <v>0</v>
      </c>
      <c r="F162" s="108">
        <f>VLOOKUP($A162,Cur_Budget,Cur_Month+5)</f>
        <v>0</v>
      </c>
      <c r="G162" s="7" t="str">
        <f t="shared" si="151"/>
        <v>NA</v>
      </c>
      <c r="H162" s="123">
        <f>VLOOKUP($A162,PY_Actual,Cur_Month+5)</f>
        <v>0</v>
      </c>
      <c r="I162" s="7" t="str">
        <f>IF(H162=0,"NA",(+E162-H162)/H162)</f>
        <v>NA</v>
      </c>
      <c r="K162" s="108">
        <f>VLOOKUP($A162,Cur_Actuals,Cur_Month+18)</f>
        <v>0</v>
      </c>
      <c r="L162" s="108">
        <f>VLOOKUP($A162,Cur_Budget,Cur_Month+18)</f>
        <v>0</v>
      </c>
      <c r="M162" s="7" t="str">
        <f t="shared" si="152"/>
        <v>NA</v>
      </c>
      <c r="N162" s="123">
        <f>VLOOKUP($A162,PY_Actual,Cur_Month+18)</f>
        <v>0</v>
      </c>
      <c r="O162" s="7" t="str">
        <f t="shared" si="153"/>
        <v>NA</v>
      </c>
    </row>
    <row r="163" spans="1:16" hidden="1" outlineLevel="1" x14ac:dyDescent="0.25">
      <c r="A163" s="106">
        <v>158</v>
      </c>
      <c r="C163" s="1" t="s">
        <v>115</v>
      </c>
      <c r="E163" s="108">
        <f>VLOOKUP($A163,Cur_Actuals,Cur_Month+5)</f>
        <v>3000</v>
      </c>
      <c r="F163" s="108">
        <f>VLOOKUP($A163,Cur_Budget,Cur_Month+5)</f>
        <v>0</v>
      </c>
      <c r="G163" s="7" t="str">
        <f t="shared" si="151"/>
        <v>NA</v>
      </c>
      <c r="H163" s="123">
        <f>VLOOKUP($A163,PY_Actual,Cur_Month+5)</f>
        <v>0</v>
      </c>
      <c r="I163" s="7" t="str">
        <f>IF(H163=0,"NA",(+E163-H163)/H163)</f>
        <v>NA</v>
      </c>
      <c r="K163" s="108">
        <f>VLOOKUP($A163,Cur_Actuals,Cur_Month+18)</f>
        <v>3000</v>
      </c>
      <c r="L163" s="108">
        <f>VLOOKUP($A163,Cur_Budget,Cur_Month+18)</f>
        <v>3387</v>
      </c>
      <c r="M163" s="7">
        <f t="shared" si="152"/>
        <v>-0.11426040744021258</v>
      </c>
      <c r="N163" s="123">
        <f>VLOOKUP($A163,PY_Actual,Cur_Month+18)</f>
        <v>0</v>
      </c>
      <c r="O163" s="7" t="str">
        <f t="shared" si="153"/>
        <v>NA</v>
      </c>
    </row>
    <row r="164" spans="1:16" s="5" customFormat="1" collapsed="1" x14ac:dyDescent="0.25">
      <c r="A164" s="106">
        <v>159</v>
      </c>
      <c r="B164" s="38" t="s">
        <v>116</v>
      </c>
      <c r="C164" s="38"/>
      <c r="D164" s="38"/>
      <c r="E164" s="121">
        <f>SUM(E160:E163)</f>
        <v>3000</v>
      </c>
      <c r="F164" s="121">
        <f>SUM(F160:F163)</f>
        <v>0</v>
      </c>
      <c r="G164" s="39" t="str">
        <f t="shared" si="151"/>
        <v>NA</v>
      </c>
      <c r="H164" s="133">
        <f>SUM(H160:H163)</f>
        <v>0</v>
      </c>
      <c r="I164" s="39" t="str">
        <f>IF(H164=0,"NA",(+E164-H164)/H164)</f>
        <v>NA</v>
      </c>
      <c r="K164" s="121">
        <f>SUM(K160:K163)</f>
        <v>3000</v>
      </c>
      <c r="L164" s="121">
        <f>SUM(L160:L163)</f>
        <v>6773.25</v>
      </c>
      <c r="M164" s="39">
        <f>IF(L164=0,"NA",(+K164-L164)/L164)</f>
        <v>-0.55708116487653636</v>
      </c>
      <c r="N164" s="133">
        <f>SUM(N160:N163)</f>
        <v>2500</v>
      </c>
      <c r="O164" s="39">
        <f>IF(N164=0,"NA",(+K164-N164)/N164)</f>
        <v>0.2</v>
      </c>
      <c r="P164" s="14"/>
    </row>
    <row r="165" spans="1:16" ht="7.5" customHeight="1" x14ac:dyDescent="0.25">
      <c r="A165" s="106">
        <v>160</v>
      </c>
      <c r="E165" s="110"/>
      <c r="F165" s="110"/>
      <c r="G165" s="66"/>
      <c r="H165" s="125"/>
      <c r="K165" s="110"/>
      <c r="L165" s="110"/>
      <c r="N165" s="125"/>
    </row>
    <row r="166" spans="1:16" x14ac:dyDescent="0.25">
      <c r="A166" s="106">
        <v>161</v>
      </c>
      <c r="B166" s="40" t="s">
        <v>117</v>
      </c>
      <c r="C166" s="41"/>
      <c r="D166" s="41"/>
      <c r="E166" s="122">
        <f>+E82+E133+E156+E164+E31</f>
        <v>52218.999999999993</v>
      </c>
      <c r="F166" s="122">
        <f>+F82+F133+F156+F164+F31</f>
        <v>48655.22</v>
      </c>
      <c r="G166" s="42">
        <f t="shared" ref="G166:G167" si="154">IF(F166=0,"NA",(+E166-F166)/F166)</f>
        <v>7.3245583927068703E-2</v>
      </c>
      <c r="H166" s="134">
        <f>+H82+H133+H156+H164+H31</f>
        <v>50344.659999999996</v>
      </c>
      <c r="I166" s="42">
        <f>IF(H166=0,"NA",(+E166-H166)/H166)</f>
        <v>3.7230165026439679E-2</v>
      </c>
      <c r="K166" s="122">
        <f>+K82+K133+K156+K164+K31</f>
        <v>461158.51999999996</v>
      </c>
      <c r="L166" s="122">
        <f>+L82+L133+L156+L164+L31</f>
        <v>477060.85</v>
      </c>
      <c r="M166" s="42">
        <f>IF(L166=0,"NA",(+K166-L166)/L166)</f>
        <v>-3.3333965677544104E-2</v>
      </c>
      <c r="N166" s="134">
        <f>+N82+N133+N156+N164+N31</f>
        <v>460120.34999999992</v>
      </c>
      <c r="O166" s="42">
        <f>IF(N166=0,"NA",(+K166-N166)/N166)</f>
        <v>2.2563009873395995E-3</v>
      </c>
    </row>
    <row r="167" spans="1:16" x14ac:dyDescent="0.25">
      <c r="A167" s="106">
        <v>162</v>
      </c>
      <c r="B167" s="40" t="s">
        <v>118</v>
      </c>
      <c r="C167" s="41"/>
      <c r="D167" s="41"/>
      <c r="E167" s="122">
        <f>+E22-E166</f>
        <v>-13948.009999999995</v>
      </c>
      <c r="F167" s="122">
        <f>+F22-F166</f>
        <v>-10069.800000000003</v>
      </c>
      <c r="G167" s="42">
        <f t="shared" si="154"/>
        <v>0.38513277324276457</v>
      </c>
      <c r="H167" s="134">
        <f>+H22-H166</f>
        <v>-16143.239999999998</v>
      </c>
      <c r="I167" s="42">
        <f>IF(H167=0,"NA",(+E167-H167)/H167)</f>
        <v>-0.13598447399654615</v>
      </c>
      <c r="K167" s="122">
        <f>+K22-K166</f>
        <v>9312.3100000000559</v>
      </c>
      <c r="L167" s="122">
        <f>+L22-L166</f>
        <v>4126.9800000000396</v>
      </c>
      <c r="M167" s="42">
        <f>IF(L167=0,"NA",(+K167-L167)/L167)</f>
        <v>1.2564466026004406</v>
      </c>
      <c r="N167" s="134">
        <f>+N22-N166</f>
        <v>7300.3300000000745</v>
      </c>
      <c r="O167" s="42">
        <f>IF(N167=0,"NA",(+K167-N167)/N167)</f>
        <v>0.27560123994394237</v>
      </c>
    </row>
    <row r="168" spans="1:16" x14ac:dyDescent="0.25">
      <c r="G168" s="66"/>
      <c r="N168" s="1"/>
    </row>
    <row r="169" spans="1:16" x14ac:dyDescent="0.25">
      <c r="G169" s="66"/>
      <c r="N169" s="1"/>
    </row>
    <row r="170" spans="1:16" x14ac:dyDescent="0.25">
      <c r="G170" s="66"/>
      <c r="N170" s="1"/>
    </row>
    <row r="171" spans="1:16" x14ac:dyDescent="0.25">
      <c r="G171" s="66"/>
      <c r="N171" s="1"/>
    </row>
    <row r="172" spans="1:16" x14ac:dyDescent="0.25">
      <c r="G172" s="66"/>
      <c r="N172" s="1"/>
    </row>
    <row r="173" spans="1:16" x14ac:dyDescent="0.25">
      <c r="G173" s="66"/>
      <c r="N173" s="1"/>
    </row>
    <row r="174" spans="1:16" x14ac:dyDescent="0.25">
      <c r="G174" s="66"/>
      <c r="N174" s="1"/>
    </row>
    <row r="175" spans="1:16" x14ac:dyDescent="0.25">
      <c r="G175" s="66"/>
      <c r="N175" s="1"/>
    </row>
    <row r="176" spans="1:16" x14ac:dyDescent="0.25">
      <c r="G176" s="66"/>
      <c r="N176" s="1"/>
    </row>
    <row r="177" spans="7:14" x14ac:dyDescent="0.25">
      <c r="G177" s="66"/>
      <c r="N177" s="1"/>
    </row>
    <row r="178" spans="7:14" x14ac:dyDescent="0.25">
      <c r="G178" s="66"/>
      <c r="N178" s="1"/>
    </row>
    <row r="179" spans="7:14" x14ac:dyDescent="0.25">
      <c r="G179" s="66"/>
      <c r="N179" s="1"/>
    </row>
    <row r="180" spans="7:14" x14ac:dyDescent="0.25">
      <c r="G180" s="66"/>
      <c r="N180" s="1"/>
    </row>
    <row r="181" spans="7:14" x14ac:dyDescent="0.25">
      <c r="G181" s="66"/>
      <c r="N181" s="1"/>
    </row>
    <row r="182" spans="7:14" x14ac:dyDescent="0.25">
      <c r="G182" s="66"/>
      <c r="N182" s="1"/>
    </row>
    <row r="183" spans="7:14" x14ac:dyDescent="0.25">
      <c r="G183" s="66"/>
      <c r="N183" s="1"/>
    </row>
    <row r="184" spans="7:14" x14ac:dyDescent="0.25">
      <c r="G184" s="66"/>
      <c r="N184" s="1"/>
    </row>
    <row r="185" spans="7:14" x14ac:dyDescent="0.25">
      <c r="G185" s="66"/>
      <c r="N185" s="1"/>
    </row>
    <row r="186" spans="7:14" x14ac:dyDescent="0.25">
      <c r="G186" s="66"/>
      <c r="N186" s="1"/>
    </row>
    <row r="187" spans="7:14" x14ac:dyDescent="0.25">
      <c r="G187" s="66"/>
      <c r="N187" s="1"/>
    </row>
    <row r="188" spans="7:14" x14ac:dyDescent="0.25">
      <c r="G188" s="66"/>
    </row>
    <row r="189" spans="7:14" x14ac:dyDescent="0.25">
      <c r="G189" s="66"/>
    </row>
  </sheetData>
  <mergeCells count="5">
    <mergeCell ref="K3:O3"/>
    <mergeCell ref="B1:P1"/>
    <mergeCell ref="B2:P2"/>
    <mergeCell ref="E3:I3"/>
    <mergeCell ref="C150:D150"/>
  </mergeCells>
  <pageMargins left="0" right="0" top="0" bottom="0" header="0.3" footer="0.3"/>
  <pageSetup scale="73" fitToHeight="0" orientation="landscape" r:id="rId1"/>
  <headerFooter>
    <oddFooter>&amp;C&amp;P of &amp;N&amp;R&amp;D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L1" workbookViewId="0">
      <selection activeCell="AF156" sqref="AF1:AF1048576"/>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229</v>
      </c>
      <c r="G3" s="237"/>
      <c r="H3" s="237"/>
      <c r="I3" s="237"/>
      <c r="J3" s="237"/>
      <c r="K3" s="237"/>
      <c r="L3" s="237"/>
      <c r="M3" s="237"/>
      <c r="N3" s="237"/>
      <c r="O3" s="237"/>
      <c r="P3" s="237"/>
      <c r="Q3" s="237"/>
      <c r="R3" s="238"/>
      <c r="S3" s="239" t="str">
        <f>+F3&amp;" YTD"</f>
        <v>2013 Budget YTD</v>
      </c>
      <c r="T3" s="240"/>
      <c r="U3" s="240"/>
      <c r="V3" s="240"/>
      <c r="W3" s="240"/>
      <c r="X3" s="240"/>
      <c r="Y3" s="240"/>
      <c r="Z3" s="240"/>
      <c r="AA3" s="240"/>
      <c r="AB3" s="240"/>
      <c r="AC3" s="240"/>
      <c r="AD3" s="241"/>
    </row>
    <row r="4" spans="1:30" s="5" customFormat="1" ht="53.25" customHeight="1" x14ac:dyDescent="0.25">
      <c r="A4" s="107"/>
      <c r="E4" s="88" t="s">
        <v>167</v>
      </c>
      <c r="F4" s="69" t="s">
        <v>166</v>
      </c>
      <c r="G4" s="69" t="s">
        <v>168</v>
      </c>
      <c r="H4" s="69" t="s">
        <v>169</v>
      </c>
      <c r="I4" s="69" t="s">
        <v>170</v>
      </c>
      <c r="J4" s="69" t="s">
        <v>171</v>
      </c>
      <c r="K4" s="69" t="s">
        <v>172</v>
      </c>
      <c r="L4" s="69" t="s">
        <v>173</v>
      </c>
      <c r="M4" s="69" t="s">
        <v>174</v>
      </c>
      <c r="N4" s="69" t="s">
        <v>175</v>
      </c>
      <c r="O4" s="69" t="s">
        <v>176</v>
      </c>
      <c r="P4" s="69" t="s">
        <v>177</v>
      </c>
      <c r="Q4" s="69" t="s">
        <v>178</v>
      </c>
      <c r="R4" s="135"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97671.18</v>
      </c>
      <c r="G7" s="71">
        <v>33979.449999999997</v>
      </c>
      <c r="H7" s="71">
        <v>34632.65</v>
      </c>
      <c r="I7" s="71">
        <v>36883.99</v>
      </c>
      <c r="J7" s="71">
        <v>36463.879999999997</v>
      </c>
      <c r="K7" s="71">
        <v>31204.28</v>
      </c>
      <c r="L7" s="71">
        <v>91290.36</v>
      </c>
      <c r="M7" s="71">
        <v>32783.730000000003</v>
      </c>
      <c r="N7" s="71">
        <v>33492.92</v>
      </c>
      <c r="O7" s="71">
        <v>37752.089999999997</v>
      </c>
      <c r="P7" s="71">
        <v>37595.94</v>
      </c>
      <c r="Q7" s="71">
        <v>46054.53</v>
      </c>
      <c r="R7" s="79">
        <f>+'New Year-Full Year'!G7</f>
        <v>541726</v>
      </c>
      <c r="S7" s="139">
        <f>SUM(F7)</f>
        <v>97671.18</v>
      </c>
      <c r="T7" s="139">
        <f>SUM($F7:G7)</f>
        <v>131650.63</v>
      </c>
      <c r="U7" s="139">
        <f>SUM($F7:H7)</f>
        <v>166283.28</v>
      </c>
      <c r="V7" s="139">
        <f>SUM($F7:I7)</f>
        <v>203167.27</v>
      </c>
      <c r="W7" s="139">
        <f>SUM($F7:J7)</f>
        <v>239631.15</v>
      </c>
      <c r="X7" s="139">
        <f>SUM($F7:K7)</f>
        <v>270835.43</v>
      </c>
      <c r="Y7" s="139">
        <f>SUM($F7:L7)</f>
        <v>362125.79</v>
      </c>
      <c r="Z7" s="139">
        <f>SUM($F7:M7)</f>
        <v>394909.51999999996</v>
      </c>
      <c r="AA7" s="139">
        <f>SUM($F7:N7)</f>
        <v>428402.43999999994</v>
      </c>
      <c r="AB7" s="139">
        <f>SUM($F7:O7)</f>
        <v>466154.52999999991</v>
      </c>
      <c r="AC7" s="139">
        <f>SUM($F7:P7)</f>
        <v>503750.46999999991</v>
      </c>
      <c r="AD7" s="139">
        <f>SUM($F7:Q7)</f>
        <v>549804.99999999988</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+'New Year-Full Year'!G8</f>
        <v>0</v>
      </c>
      <c r="S8" s="139">
        <f t="shared" ref="S8:S12" si="0">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0</v>
      </c>
      <c r="I9" s="71">
        <v>4000</v>
      </c>
      <c r="J9" s="71">
        <v>0</v>
      </c>
      <c r="K9" s="71">
        <v>0</v>
      </c>
      <c r="L9" s="71">
        <v>0</v>
      </c>
      <c r="M9" s="71">
        <v>0</v>
      </c>
      <c r="N9" s="71">
        <v>0</v>
      </c>
      <c r="O9" s="71">
        <v>0</v>
      </c>
      <c r="P9" s="71">
        <v>0</v>
      </c>
      <c r="Q9" s="71">
        <v>0</v>
      </c>
      <c r="R9" s="79">
        <f>+'New Year-Full Year'!G9</f>
        <v>4000</v>
      </c>
      <c r="S9" s="139">
        <f t="shared" si="0"/>
        <v>0</v>
      </c>
      <c r="T9" s="139">
        <f>SUM($F9:G9)</f>
        <v>0</v>
      </c>
      <c r="U9" s="139">
        <f>SUM($F9:H9)</f>
        <v>0</v>
      </c>
      <c r="V9" s="139">
        <f>SUM($F9:I9)</f>
        <v>4000</v>
      </c>
      <c r="W9" s="139">
        <f>SUM($F9:J9)</f>
        <v>4000</v>
      </c>
      <c r="X9" s="139">
        <f>SUM($F9:K9)</f>
        <v>4000</v>
      </c>
      <c r="Y9" s="139">
        <f>SUM($F9:L9)</f>
        <v>4000</v>
      </c>
      <c r="Z9" s="139">
        <f>SUM($F9:M9)</f>
        <v>4000</v>
      </c>
      <c r="AA9" s="139">
        <f>SUM($F9:N9)</f>
        <v>4000</v>
      </c>
      <c r="AB9" s="139">
        <f>SUM($F9:O9)</f>
        <v>4000</v>
      </c>
      <c r="AC9" s="139">
        <f>SUM($F9:P9)</f>
        <v>4000</v>
      </c>
      <c r="AD9" s="139">
        <f>SUM($F9:Q9)</f>
        <v>4000</v>
      </c>
    </row>
    <row r="10" spans="1:30" x14ac:dyDescent="0.25">
      <c r="A10" s="106">
        <v>5</v>
      </c>
      <c r="C10" s="1" t="s">
        <v>4</v>
      </c>
      <c r="F10" s="71">
        <v>0</v>
      </c>
      <c r="G10" s="71">
        <v>0</v>
      </c>
      <c r="H10" s="71">
        <v>0</v>
      </c>
      <c r="I10" s="71">
        <v>0</v>
      </c>
      <c r="J10" s="71">
        <v>0</v>
      </c>
      <c r="K10" s="71">
        <v>0</v>
      </c>
      <c r="L10" s="71">
        <v>0</v>
      </c>
      <c r="M10" s="71">
        <v>0</v>
      </c>
      <c r="N10" s="71">
        <v>0</v>
      </c>
      <c r="O10" s="71">
        <v>0</v>
      </c>
      <c r="P10" s="71">
        <v>1000</v>
      </c>
      <c r="Q10" s="71">
        <v>0</v>
      </c>
      <c r="R10" s="79">
        <f>+'New Year-Full Year'!G10</f>
        <v>1000</v>
      </c>
      <c r="S10" s="139">
        <f t="shared" si="0"/>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1000</v>
      </c>
      <c r="AD10" s="139">
        <f>SUM($F10:Q10)</f>
        <v>1000</v>
      </c>
    </row>
    <row r="11" spans="1:30" x14ac:dyDescent="0.25">
      <c r="A11" s="106">
        <v>6</v>
      </c>
      <c r="C11" s="1" t="s">
        <v>5</v>
      </c>
      <c r="F11" s="71">
        <v>0</v>
      </c>
      <c r="G11" s="71">
        <v>0</v>
      </c>
      <c r="H11" s="71">
        <v>0</v>
      </c>
      <c r="I11" s="71">
        <v>0</v>
      </c>
      <c r="J11" s="71">
        <v>0</v>
      </c>
      <c r="K11" s="71">
        <v>0</v>
      </c>
      <c r="L11" s="71">
        <v>0</v>
      </c>
      <c r="M11" s="71">
        <v>0</v>
      </c>
      <c r="N11" s="71">
        <v>0</v>
      </c>
      <c r="O11" s="71">
        <v>0</v>
      </c>
      <c r="P11" s="71">
        <v>0</v>
      </c>
      <c r="Q11" s="71">
        <v>5000</v>
      </c>
      <c r="R11" s="79">
        <f>+'New Year-Full Year'!G11</f>
        <v>5000</v>
      </c>
      <c r="S11" s="139">
        <f t="shared" si="0"/>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v>0</v>
      </c>
      <c r="G12" s="71">
        <v>675</v>
      </c>
      <c r="H12" s="71">
        <v>1350</v>
      </c>
      <c r="I12" s="71">
        <v>675</v>
      </c>
      <c r="J12" s="71">
        <v>0</v>
      </c>
      <c r="K12" s="71">
        <v>0</v>
      </c>
      <c r="L12" s="71">
        <v>0</v>
      </c>
      <c r="M12" s="71">
        <v>0</v>
      </c>
      <c r="N12" s="71">
        <v>0</v>
      </c>
      <c r="O12" s="71">
        <v>0</v>
      </c>
      <c r="P12" s="71">
        <v>0</v>
      </c>
      <c r="Q12" s="71">
        <v>0</v>
      </c>
      <c r="R12" s="79">
        <f>+'New Year-Full Year'!G12</f>
        <v>2000</v>
      </c>
      <c r="S12" s="139">
        <f t="shared" si="0"/>
        <v>0</v>
      </c>
      <c r="T12" s="139">
        <f>SUM($F12:G12)</f>
        <v>675</v>
      </c>
      <c r="U12" s="139">
        <f>SUM($F12:H12)</f>
        <v>2025</v>
      </c>
      <c r="V12" s="139">
        <f>SUM($F12:I12)</f>
        <v>2700</v>
      </c>
      <c r="W12" s="139">
        <f>SUM($F12:J12)</f>
        <v>2700</v>
      </c>
      <c r="X12" s="139">
        <f>SUM($F12:K12)</f>
        <v>2700</v>
      </c>
      <c r="Y12" s="139">
        <f>SUM($F12:L12)</f>
        <v>2700</v>
      </c>
      <c r="Z12" s="139">
        <f>SUM($F12:M12)</f>
        <v>2700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1">SUM(F7:F12)</f>
        <v>97671.18</v>
      </c>
      <c r="G13" s="72">
        <f t="shared" si="1"/>
        <v>34654.449999999997</v>
      </c>
      <c r="H13" s="72">
        <f t="shared" si="1"/>
        <v>35982.65</v>
      </c>
      <c r="I13" s="72">
        <f t="shared" si="1"/>
        <v>41558.99</v>
      </c>
      <c r="J13" s="72">
        <f t="shared" si="1"/>
        <v>36463.879999999997</v>
      </c>
      <c r="K13" s="72">
        <f t="shared" si="1"/>
        <v>31204.28</v>
      </c>
      <c r="L13" s="72">
        <f t="shared" si="1"/>
        <v>91290.36</v>
      </c>
      <c r="M13" s="72">
        <f t="shared" si="1"/>
        <v>32783.730000000003</v>
      </c>
      <c r="N13" s="72">
        <f t="shared" si="1"/>
        <v>33492.92</v>
      </c>
      <c r="O13" s="72">
        <f t="shared" si="1"/>
        <v>37752.089999999997</v>
      </c>
      <c r="P13" s="72">
        <f t="shared" si="1"/>
        <v>38595.94</v>
      </c>
      <c r="Q13" s="72">
        <f t="shared" si="1"/>
        <v>51054.53</v>
      </c>
      <c r="R13" s="72">
        <f>SUM(R7:R12)</f>
        <v>553726</v>
      </c>
      <c r="S13" s="140">
        <f t="shared" ref="S13:AD13" si="2">SUM(S7:S12)</f>
        <v>97671.18</v>
      </c>
      <c r="T13" s="140">
        <f t="shared" si="2"/>
        <v>132325.63</v>
      </c>
      <c r="U13" s="140">
        <f t="shared" si="2"/>
        <v>168308.28</v>
      </c>
      <c r="V13" s="140">
        <f t="shared" si="2"/>
        <v>209867.27</v>
      </c>
      <c r="W13" s="140">
        <f t="shared" si="2"/>
        <v>246331.15</v>
      </c>
      <c r="X13" s="140">
        <f t="shared" si="2"/>
        <v>277535.43</v>
      </c>
      <c r="Y13" s="140">
        <f t="shared" si="2"/>
        <v>368825.79</v>
      </c>
      <c r="Z13" s="140">
        <f t="shared" si="2"/>
        <v>401609.51999999996</v>
      </c>
      <c r="AA13" s="140">
        <f t="shared" si="2"/>
        <v>435102.43999999994</v>
      </c>
      <c r="AB13" s="140">
        <f t="shared" si="2"/>
        <v>472854.52999999991</v>
      </c>
      <c r="AC13" s="140">
        <f t="shared" si="2"/>
        <v>511450.46999999991</v>
      </c>
      <c r="AD13" s="140">
        <f t="shared" si="2"/>
        <v>562504.99999999988</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625</v>
      </c>
      <c r="G16" s="79">
        <f t="shared" ref="G16:Q16" si="3">ROUND(+$R16/$E16,2)</f>
        <v>625</v>
      </c>
      <c r="H16" s="79">
        <f t="shared" si="3"/>
        <v>625</v>
      </c>
      <c r="I16" s="79">
        <f t="shared" si="3"/>
        <v>625</v>
      </c>
      <c r="J16" s="79">
        <f t="shared" si="3"/>
        <v>625</v>
      </c>
      <c r="K16" s="79">
        <f t="shared" si="3"/>
        <v>625</v>
      </c>
      <c r="L16" s="79">
        <f t="shared" si="3"/>
        <v>625</v>
      </c>
      <c r="M16" s="79">
        <f t="shared" si="3"/>
        <v>625</v>
      </c>
      <c r="N16" s="79">
        <f t="shared" si="3"/>
        <v>625</v>
      </c>
      <c r="O16" s="79">
        <f t="shared" si="3"/>
        <v>625</v>
      </c>
      <c r="P16" s="79">
        <f t="shared" si="3"/>
        <v>625</v>
      </c>
      <c r="Q16" s="79">
        <f t="shared" si="3"/>
        <v>625</v>
      </c>
      <c r="R16" s="79">
        <f>+'New Year-Full Year'!G16</f>
        <v>7500</v>
      </c>
      <c r="S16" s="139">
        <f t="shared" ref="S16:S20" si="4">SUM(F16)</f>
        <v>625</v>
      </c>
      <c r="T16" s="139">
        <f>SUM($F16:G16)</f>
        <v>1250</v>
      </c>
      <c r="U16" s="139">
        <f>SUM($F16:H16)</f>
        <v>1875</v>
      </c>
      <c r="V16" s="139">
        <f>SUM($F16:I16)</f>
        <v>2500</v>
      </c>
      <c r="W16" s="139">
        <f>SUM($F16:J16)</f>
        <v>3125</v>
      </c>
      <c r="X16" s="139">
        <f>SUM($F16:K16)</f>
        <v>3750</v>
      </c>
      <c r="Y16" s="139">
        <f>SUM($F16:L16)</f>
        <v>4375</v>
      </c>
      <c r="Z16" s="139">
        <f>SUM($F16:M16)</f>
        <v>5000</v>
      </c>
      <c r="AA16" s="139">
        <f>SUM($F16:N16)</f>
        <v>5625</v>
      </c>
      <c r="AB16" s="139">
        <f>SUM($F16:O16)</f>
        <v>6250</v>
      </c>
      <c r="AC16" s="139">
        <f>SUM($F16:P16)</f>
        <v>6875</v>
      </c>
      <c r="AD16" s="139">
        <f>SUM($F16:Q16)</f>
        <v>7500</v>
      </c>
    </row>
    <row r="17" spans="1:31" x14ac:dyDescent="0.25">
      <c r="A17" s="106">
        <v>12</v>
      </c>
      <c r="C17" s="1" t="s">
        <v>8</v>
      </c>
      <c r="E17" s="101">
        <f>+E$16</f>
        <v>12</v>
      </c>
      <c r="F17" s="79">
        <f t="shared" ref="F17:Q20" si="5">ROUND(+$R17/$E17,2)</f>
        <v>0</v>
      </c>
      <c r="G17" s="79">
        <f t="shared" si="5"/>
        <v>0</v>
      </c>
      <c r="H17" s="79">
        <f t="shared" si="5"/>
        <v>0</v>
      </c>
      <c r="I17" s="79">
        <f t="shared" si="5"/>
        <v>0</v>
      </c>
      <c r="J17" s="79">
        <f t="shared" si="5"/>
        <v>0</v>
      </c>
      <c r="K17" s="79">
        <f t="shared" si="5"/>
        <v>0</v>
      </c>
      <c r="L17" s="79">
        <f t="shared" si="5"/>
        <v>0</v>
      </c>
      <c r="M17" s="79">
        <f t="shared" si="5"/>
        <v>0</v>
      </c>
      <c r="N17" s="79">
        <f t="shared" si="5"/>
        <v>0</v>
      </c>
      <c r="O17" s="79">
        <f t="shared" si="5"/>
        <v>0</v>
      </c>
      <c r="P17" s="79">
        <f t="shared" si="5"/>
        <v>0</v>
      </c>
      <c r="Q17" s="79">
        <f t="shared" si="5"/>
        <v>0</v>
      </c>
      <c r="R17" s="79">
        <f>+'New Year-Full Year'!G17</f>
        <v>0</v>
      </c>
      <c r="S17" s="139">
        <f t="shared" si="4"/>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6">+E$16</f>
        <v>12</v>
      </c>
      <c r="F18" s="79">
        <f t="shared" si="5"/>
        <v>0</v>
      </c>
      <c r="G18" s="79">
        <f t="shared" si="5"/>
        <v>0</v>
      </c>
      <c r="H18" s="79">
        <f t="shared" si="5"/>
        <v>0</v>
      </c>
      <c r="I18" s="79">
        <f t="shared" si="5"/>
        <v>0</v>
      </c>
      <c r="J18" s="79">
        <f t="shared" si="5"/>
        <v>0</v>
      </c>
      <c r="K18" s="79">
        <f t="shared" si="5"/>
        <v>0</v>
      </c>
      <c r="L18" s="79">
        <f t="shared" si="5"/>
        <v>0</v>
      </c>
      <c r="M18" s="79">
        <f t="shared" si="5"/>
        <v>0</v>
      </c>
      <c r="N18" s="79">
        <f t="shared" si="5"/>
        <v>0</v>
      </c>
      <c r="O18" s="79">
        <f t="shared" si="5"/>
        <v>0</v>
      </c>
      <c r="P18" s="79">
        <f t="shared" si="5"/>
        <v>0</v>
      </c>
      <c r="Q18" s="79">
        <f t="shared" si="5"/>
        <v>0</v>
      </c>
      <c r="R18" s="79">
        <f>+'New Year-Full Year'!G18</f>
        <v>0</v>
      </c>
      <c r="S18" s="139">
        <f t="shared" si="4"/>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6"/>
        <v>12</v>
      </c>
      <c r="F19" s="79">
        <f t="shared" si="5"/>
        <v>0</v>
      </c>
      <c r="G19" s="79">
        <f t="shared" si="5"/>
        <v>0</v>
      </c>
      <c r="H19" s="79">
        <f t="shared" si="5"/>
        <v>0</v>
      </c>
      <c r="I19" s="79">
        <f t="shared" si="5"/>
        <v>0</v>
      </c>
      <c r="J19" s="79">
        <f t="shared" si="5"/>
        <v>0</v>
      </c>
      <c r="K19" s="79">
        <f t="shared" si="5"/>
        <v>0</v>
      </c>
      <c r="L19" s="79">
        <f t="shared" si="5"/>
        <v>0</v>
      </c>
      <c r="M19" s="79">
        <f t="shared" si="5"/>
        <v>0</v>
      </c>
      <c r="N19" s="79">
        <f t="shared" si="5"/>
        <v>0</v>
      </c>
      <c r="O19" s="79">
        <f t="shared" si="5"/>
        <v>0</v>
      </c>
      <c r="P19" s="79">
        <f t="shared" si="5"/>
        <v>0</v>
      </c>
      <c r="Q19" s="79">
        <f t="shared" si="5"/>
        <v>0</v>
      </c>
      <c r="R19" s="79">
        <f>+'New Year-Full Year'!G19</f>
        <v>0</v>
      </c>
      <c r="S19" s="139">
        <f t="shared" si="4"/>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142</v>
      </c>
      <c r="E20" s="101">
        <f t="shared" si="6"/>
        <v>12</v>
      </c>
      <c r="F20" s="79">
        <f t="shared" si="5"/>
        <v>0</v>
      </c>
      <c r="G20" s="79">
        <f t="shared" si="5"/>
        <v>0</v>
      </c>
      <c r="H20" s="79">
        <f t="shared" si="5"/>
        <v>0</v>
      </c>
      <c r="I20" s="79">
        <f t="shared" si="5"/>
        <v>0</v>
      </c>
      <c r="J20" s="79">
        <f t="shared" si="5"/>
        <v>0</v>
      </c>
      <c r="K20" s="79">
        <f t="shared" si="5"/>
        <v>0</v>
      </c>
      <c r="L20" s="79">
        <f t="shared" si="5"/>
        <v>0</v>
      </c>
      <c r="M20" s="79">
        <f t="shared" si="5"/>
        <v>0</v>
      </c>
      <c r="N20" s="79">
        <f t="shared" si="5"/>
        <v>0</v>
      </c>
      <c r="O20" s="79">
        <f t="shared" si="5"/>
        <v>0</v>
      </c>
      <c r="P20" s="79">
        <f t="shared" si="5"/>
        <v>0</v>
      </c>
      <c r="Q20" s="79">
        <f t="shared" si="5"/>
        <v>0</v>
      </c>
      <c r="R20" s="79">
        <f>+'New Year-Full Year'!G20</f>
        <v>0</v>
      </c>
      <c r="S20" s="139">
        <f t="shared" si="4"/>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7">SUM(F16:F20)</f>
        <v>625</v>
      </c>
      <c r="G21" s="72">
        <f t="shared" si="7"/>
        <v>625</v>
      </c>
      <c r="H21" s="72">
        <f t="shared" si="7"/>
        <v>625</v>
      </c>
      <c r="I21" s="72">
        <f t="shared" si="7"/>
        <v>625</v>
      </c>
      <c r="J21" s="72">
        <f t="shared" si="7"/>
        <v>625</v>
      </c>
      <c r="K21" s="72">
        <f t="shared" si="7"/>
        <v>625</v>
      </c>
      <c r="L21" s="72">
        <f t="shared" si="7"/>
        <v>625</v>
      </c>
      <c r="M21" s="72">
        <f t="shared" si="7"/>
        <v>625</v>
      </c>
      <c r="N21" s="72">
        <f t="shared" si="7"/>
        <v>625</v>
      </c>
      <c r="O21" s="72">
        <f t="shared" si="7"/>
        <v>625</v>
      </c>
      <c r="P21" s="72">
        <f t="shared" si="7"/>
        <v>625</v>
      </c>
      <c r="Q21" s="72">
        <f t="shared" si="7"/>
        <v>625</v>
      </c>
      <c r="R21" s="72">
        <f>SUM(R16:R20)</f>
        <v>7500</v>
      </c>
      <c r="S21" s="140">
        <f t="shared" ref="S21:AD21" si="8">SUM(S16:S20)</f>
        <v>625</v>
      </c>
      <c r="T21" s="140">
        <f t="shared" si="8"/>
        <v>1250</v>
      </c>
      <c r="U21" s="140">
        <f t="shared" si="8"/>
        <v>1875</v>
      </c>
      <c r="V21" s="140">
        <f t="shared" si="8"/>
        <v>2500</v>
      </c>
      <c r="W21" s="140">
        <f t="shared" si="8"/>
        <v>3125</v>
      </c>
      <c r="X21" s="140">
        <f t="shared" si="8"/>
        <v>3750</v>
      </c>
      <c r="Y21" s="140">
        <f t="shared" si="8"/>
        <v>4375</v>
      </c>
      <c r="Z21" s="140">
        <f t="shared" si="8"/>
        <v>5000</v>
      </c>
      <c r="AA21" s="140">
        <f t="shared" si="8"/>
        <v>5625</v>
      </c>
      <c r="AB21" s="140">
        <f t="shared" si="8"/>
        <v>6250</v>
      </c>
      <c r="AC21" s="140">
        <f t="shared" si="8"/>
        <v>6875</v>
      </c>
      <c r="AD21" s="140">
        <f t="shared" si="8"/>
        <v>7500</v>
      </c>
    </row>
    <row r="22" spans="1:31" x14ac:dyDescent="0.25">
      <c r="A22" s="106">
        <v>17</v>
      </c>
      <c r="B22" s="15" t="s">
        <v>14</v>
      </c>
      <c r="C22" s="15"/>
      <c r="D22" s="15"/>
      <c r="E22" s="90"/>
      <c r="F22" s="72">
        <f t="shared" ref="F22:Q22" si="9">+F13+F21</f>
        <v>98296.18</v>
      </c>
      <c r="G22" s="72">
        <f t="shared" si="9"/>
        <v>35279.449999999997</v>
      </c>
      <c r="H22" s="72">
        <f t="shared" si="9"/>
        <v>36607.65</v>
      </c>
      <c r="I22" s="72">
        <f t="shared" si="9"/>
        <v>42183.99</v>
      </c>
      <c r="J22" s="72">
        <f t="shared" si="9"/>
        <v>37088.879999999997</v>
      </c>
      <c r="K22" s="72">
        <f t="shared" si="9"/>
        <v>31829.279999999999</v>
      </c>
      <c r="L22" s="72">
        <f t="shared" si="9"/>
        <v>91915.36</v>
      </c>
      <c r="M22" s="72">
        <f t="shared" si="9"/>
        <v>33408.730000000003</v>
      </c>
      <c r="N22" s="72">
        <f t="shared" si="9"/>
        <v>34117.919999999998</v>
      </c>
      <c r="O22" s="72">
        <f t="shared" si="9"/>
        <v>38377.089999999997</v>
      </c>
      <c r="P22" s="72">
        <f t="shared" si="9"/>
        <v>39220.94</v>
      </c>
      <c r="Q22" s="72">
        <f t="shared" si="9"/>
        <v>51679.53</v>
      </c>
      <c r="R22" s="72">
        <f>+R13+R21</f>
        <v>561226</v>
      </c>
      <c r="S22" s="140">
        <f t="shared" ref="S22:AD22" si="10">+S13+S21</f>
        <v>98296.18</v>
      </c>
      <c r="T22" s="140">
        <f t="shared" si="10"/>
        <v>133575.63</v>
      </c>
      <c r="U22" s="140">
        <f t="shared" si="10"/>
        <v>170183.28</v>
      </c>
      <c r="V22" s="140">
        <f t="shared" si="10"/>
        <v>212367.27</v>
      </c>
      <c r="W22" s="140">
        <f t="shared" si="10"/>
        <v>249456.15</v>
      </c>
      <c r="X22" s="140">
        <f t="shared" si="10"/>
        <v>281285.43</v>
      </c>
      <c r="Y22" s="140">
        <f t="shared" si="10"/>
        <v>373200.79</v>
      </c>
      <c r="Z22" s="140">
        <f t="shared" si="10"/>
        <v>406609.51999999996</v>
      </c>
      <c r="AA22" s="140">
        <f t="shared" si="10"/>
        <v>440727.43999999994</v>
      </c>
      <c r="AB22" s="140">
        <f t="shared" si="10"/>
        <v>479104.52999999991</v>
      </c>
      <c r="AC22" s="140">
        <f t="shared" si="10"/>
        <v>518325.46999999991</v>
      </c>
      <c r="AD22" s="140">
        <f t="shared" si="10"/>
        <v>570004.99999999988</v>
      </c>
      <c r="AE22" s="1">
        <f>+AD22*0.033</f>
        <v>18810.164999999997</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137</v>
      </c>
      <c r="S25" s="137"/>
      <c r="T25" s="137"/>
      <c r="U25" s="137"/>
      <c r="V25" s="137"/>
      <c r="W25" s="137"/>
      <c r="X25" s="137"/>
      <c r="Y25" s="137"/>
      <c r="Z25" s="137"/>
      <c r="AA25" s="137"/>
      <c r="AB25" s="137"/>
      <c r="AC25" s="137"/>
      <c r="AD25" s="137"/>
    </row>
    <row r="26" spans="1:31" x14ac:dyDescent="0.25">
      <c r="A26" s="106">
        <v>21</v>
      </c>
      <c r="C26" s="1" t="s">
        <v>17</v>
      </c>
      <c r="R26" s="35">
        <f>+R22</f>
        <v>561226</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9">
        <f>+'New Year-Full Year'!G27</f>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9">
        <f>+'New Year-Full Year'!G28</f>
        <v>0</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9">
        <f>+'New Year-Full Year'!G29</f>
        <v>0</v>
      </c>
      <c r="S29" s="138"/>
      <c r="T29" s="138"/>
      <c r="U29" s="138"/>
      <c r="V29" s="138"/>
      <c r="W29" s="138"/>
      <c r="X29" s="138"/>
      <c r="Y29" s="138"/>
      <c r="Z29" s="138"/>
      <c r="AA29" s="138"/>
      <c r="AB29" s="138"/>
      <c r="AC29" s="138"/>
      <c r="AD29" s="138"/>
    </row>
    <row r="30" spans="1:31" x14ac:dyDescent="0.25">
      <c r="A30" s="106">
        <v>25</v>
      </c>
      <c r="C30" s="1" t="s">
        <v>17</v>
      </c>
      <c r="R30" s="35">
        <f>SUM(R26:R29)</f>
        <v>506326</v>
      </c>
      <c r="S30" s="137"/>
      <c r="T30" s="137"/>
      <c r="U30" s="137"/>
      <c r="V30" s="137"/>
      <c r="W30" s="137"/>
      <c r="X30" s="137"/>
      <c r="Y30" s="137"/>
      <c r="Z30" s="137"/>
      <c r="AA30" s="137"/>
      <c r="AB30" s="137"/>
      <c r="AC30" s="137"/>
      <c r="AD30" s="137"/>
    </row>
    <row r="31" spans="1:31" s="5" customFormat="1" x14ac:dyDescent="0.25">
      <c r="A31" s="106">
        <v>26</v>
      </c>
      <c r="B31" s="18"/>
      <c r="C31" s="19" t="s">
        <v>138</v>
      </c>
      <c r="D31" s="18"/>
      <c r="E31" s="91"/>
      <c r="F31" s="84">
        <v>2848.41</v>
      </c>
      <c r="G31" s="84">
        <v>2848.41</v>
      </c>
      <c r="H31" s="84">
        <v>7035.91</v>
      </c>
      <c r="I31" s="84">
        <v>2848.41</v>
      </c>
      <c r="J31" s="84">
        <v>2848.41</v>
      </c>
      <c r="K31" s="84">
        <v>7085.91</v>
      </c>
      <c r="L31" s="84">
        <v>2988.41</v>
      </c>
      <c r="M31" s="84">
        <v>2848.41</v>
      </c>
      <c r="N31" s="84">
        <f>7035.91-38388+38493</f>
        <v>7140.91</v>
      </c>
      <c r="O31" s="84">
        <v>2848.41</v>
      </c>
      <c r="P31" s="84">
        <v>2848.41</v>
      </c>
      <c r="Q31" s="103">
        <f>R31-SUM(F31:P31)</f>
        <v>6442.9899999999907</v>
      </c>
      <c r="R31" s="73">
        <f>ROUND(+R30*0.1,0)</f>
        <v>50633</v>
      </c>
      <c r="S31" s="143">
        <f>SUM(F31)</f>
        <v>2848.41</v>
      </c>
      <c r="T31" s="143">
        <f>SUM($F31:G31)</f>
        <v>5696.82</v>
      </c>
      <c r="U31" s="143">
        <f>SUM($F31:H31)</f>
        <v>12732.73</v>
      </c>
      <c r="V31" s="143">
        <f>SUM($F31:I31)</f>
        <v>15581.14</v>
      </c>
      <c r="W31" s="143">
        <f>SUM($F31:J31)</f>
        <v>18429.55</v>
      </c>
      <c r="X31" s="143">
        <f>SUM($F31:K31)</f>
        <v>25515.46</v>
      </c>
      <c r="Y31" s="143">
        <f>SUM($F31:L31)</f>
        <v>28503.87</v>
      </c>
      <c r="Z31" s="143">
        <f>SUM($F31:M31)</f>
        <v>31352.28</v>
      </c>
      <c r="AA31" s="143">
        <f>SUM($F31:N31)</f>
        <v>38493.19</v>
      </c>
      <c r="AB31" s="143">
        <f>SUM($F31:O31)</f>
        <v>41341.600000000006</v>
      </c>
      <c r="AC31" s="143">
        <f>SUM($F31:P31)</f>
        <v>44190.010000000009</v>
      </c>
      <c r="AD31" s="143">
        <f>SUM($F31:Q31)</f>
        <v>50633</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1">+E$16</f>
        <v>12</v>
      </c>
      <c r="F35" s="79">
        <f t="shared" ref="F35:P36" si="12">ROUND(+$R35/$E35,2)</f>
        <v>291.67</v>
      </c>
      <c r="G35" s="79">
        <f t="shared" si="12"/>
        <v>291.67</v>
      </c>
      <c r="H35" s="79">
        <f t="shared" si="12"/>
        <v>291.67</v>
      </c>
      <c r="I35" s="79">
        <f t="shared" si="12"/>
        <v>291.67</v>
      </c>
      <c r="J35" s="79">
        <f t="shared" si="12"/>
        <v>291.67</v>
      </c>
      <c r="K35" s="79">
        <f t="shared" si="12"/>
        <v>291.67</v>
      </c>
      <c r="L35" s="79">
        <f t="shared" si="12"/>
        <v>291.67</v>
      </c>
      <c r="M35" s="79">
        <f t="shared" si="12"/>
        <v>291.67</v>
      </c>
      <c r="N35" s="79">
        <f>ROUND(+$R35/$E35,2)</f>
        <v>291.67</v>
      </c>
      <c r="O35" s="79">
        <f t="shared" si="12"/>
        <v>291.67</v>
      </c>
      <c r="P35" s="79">
        <f t="shared" si="12"/>
        <v>291.67</v>
      </c>
      <c r="Q35" s="79">
        <f>ROUND(+$R35/$E35,2)</f>
        <v>291.67</v>
      </c>
      <c r="R35" s="79">
        <f>+'New Year-Full Year'!G35</f>
        <v>3500</v>
      </c>
      <c r="S35" s="139">
        <f t="shared" ref="S35:S40" si="13">SUM(F35)</f>
        <v>291.67</v>
      </c>
      <c r="T35" s="139">
        <f>SUM($F35:G35)</f>
        <v>583.34</v>
      </c>
      <c r="U35" s="139">
        <f>SUM($F35:H35)</f>
        <v>875.01</v>
      </c>
      <c r="V35" s="139">
        <f>SUM($F35:I35)</f>
        <v>1166.68</v>
      </c>
      <c r="W35" s="139">
        <f>SUM($F35:J35)</f>
        <v>1458.3500000000001</v>
      </c>
      <c r="X35" s="139">
        <f>SUM($F35:K35)</f>
        <v>1750.0200000000002</v>
      </c>
      <c r="Y35" s="139">
        <f>SUM($F35:L35)</f>
        <v>2041.6900000000003</v>
      </c>
      <c r="Z35" s="139">
        <f>SUM($F35:M35)</f>
        <v>2333.36</v>
      </c>
      <c r="AA35" s="139">
        <f>SUM($F35:N35)</f>
        <v>2625.03</v>
      </c>
      <c r="AB35" s="139">
        <f>SUM($F35:O35)</f>
        <v>2916.7000000000003</v>
      </c>
      <c r="AC35" s="139">
        <f>SUM($F35:P35)</f>
        <v>3208.3700000000003</v>
      </c>
      <c r="AD35" s="139">
        <f>SUM($F35:Q35)</f>
        <v>3500.0400000000004</v>
      </c>
    </row>
    <row r="36" spans="1:30" x14ac:dyDescent="0.25">
      <c r="A36" s="106">
        <v>31</v>
      </c>
      <c r="C36" s="1" t="s">
        <v>21</v>
      </c>
      <c r="E36" s="101">
        <f t="shared" si="11"/>
        <v>12</v>
      </c>
      <c r="F36" s="79">
        <f t="shared" si="12"/>
        <v>75</v>
      </c>
      <c r="G36" s="79">
        <f t="shared" si="12"/>
        <v>75</v>
      </c>
      <c r="H36" s="79">
        <f t="shared" si="12"/>
        <v>75</v>
      </c>
      <c r="I36" s="79">
        <f t="shared" si="12"/>
        <v>75</v>
      </c>
      <c r="J36" s="79">
        <f t="shared" si="12"/>
        <v>75</v>
      </c>
      <c r="K36" s="79">
        <f t="shared" si="12"/>
        <v>75</v>
      </c>
      <c r="L36" s="79">
        <f t="shared" si="12"/>
        <v>75</v>
      </c>
      <c r="M36" s="79">
        <f t="shared" si="12"/>
        <v>75</v>
      </c>
      <c r="N36" s="79">
        <f>ROUND(+$R36/$E36,2)</f>
        <v>75</v>
      </c>
      <c r="O36" s="79">
        <f t="shared" si="12"/>
        <v>75</v>
      </c>
      <c r="P36" s="79">
        <f t="shared" si="12"/>
        <v>75</v>
      </c>
      <c r="Q36" s="79">
        <f>ROUND(+$R36/$E36,2)</f>
        <v>75</v>
      </c>
      <c r="R36" s="79">
        <f>+'New Year-Full Year'!G36</f>
        <v>900</v>
      </c>
      <c r="S36" s="139">
        <f t="shared" si="13"/>
        <v>75</v>
      </c>
      <c r="T36" s="139">
        <f>SUM($F36:G36)</f>
        <v>150</v>
      </c>
      <c r="U36" s="139">
        <f>SUM($F36:H36)</f>
        <v>225</v>
      </c>
      <c r="V36" s="139">
        <f>SUM($F36:I36)</f>
        <v>300</v>
      </c>
      <c r="W36" s="139">
        <f>SUM($F36:J36)</f>
        <v>375</v>
      </c>
      <c r="X36" s="139">
        <f>SUM($F36:K36)</f>
        <v>450</v>
      </c>
      <c r="Y36" s="139">
        <f>SUM($F36:L36)</f>
        <v>525</v>
      </c>
      <c r="Z36" s="139">
        <f>SUM($F36:M36)</f>
        <v>600</v>
      </c>
      <c r="AA36" s="139">
        <f>SUM($F36:N36)</f>
        <v>675</v>
      </c>
      <c r="AB36" s="139">
        <f>SUM($F36:O36)</f>
        <v>750</v>
      </c>
      <c r="AC36" s="139">
        <f>SUM($F36:P36)</f>
        <v>825</v>
      </c>
      <c r="AD36" s="139">
        <f>SUM($F36:Q36)</f>
        <v>900</v>
      </c>
    </row>
    <row r="37" spans="1:30" x14ac:dyDescent="0.25">
      <c r="A37" s="106">
        <v>32</v>
      </c>
      <c r="C37" s="1" t="s">
        <v>22</v>
      </c>
      <c r="E37" s="100"/>
      <c r="F37" s="71">
        <v>0</v>
      </c>
      <c r="G37" s="71">
        <v>0</v>
      </c>
      <c r="H37" s="71">
        <v>0</v>
      </c>
      <c r="I37" s="71">
        <v>0</v>
      </c>
      <c r="J37" s="71">
        <v>0</v>
      </c>
      <c r="K37" s="71">
        <v>0</v>
      </c>
      <c r="L37" s="71">
        <v>0</v>
      </c>
      <c r="M37" s="79">
        <f>+R37</f>
        <v>1200</v>
      </c>
      <c r="N37" s="71">
        <v>0</v>
      </c>
      <c r="O37" s="71">
        <v>0</v>
      </c>
      <c r="P37" s="71">
        <v>0</v>
      </c>
      <c r="Q37" s="71">
        <v>0</v>
      </c>
      <c r="R37" s="79">
        <f>+'New Year-Full Year'!G37</f>
        <v>1200</v>
      </c>
      <c r="S37" s="139">
        <f t="shared" si="13"/>
        <v>0</v>
      </c>
      <c r="T37" s="139">
        <f>SUM($F37:G37)</f>
        <v>0</v>
      </c>
      <c r="U37" s="139">
        <f>SUM($F37:H37)</f>
        <v>0</v>
      </c>
      <c r="V37" s="139">
        <f>SUM($F37:I37)</f>
        <v>0</v>
      </c>
      <c r="W37" s="139">
        <f>SUM($F37:J37)</f>
        <v>0</v>
      </c>
      <c r="X37" s="139">
        <f>SUM($F37:K37)</f>
        <v>0</v>
      </c>
      <c r="Y37" s="139">
        <f>SUM($F37:L37)</f>
        <v>0</v>
      </c>
      <c r="Z37" s="139">
        <f>SUM($F37:M37)</f>
        <v>1200</v>
      </c>
      <c r="AA37" s="139">
        <f>SUM($F37:N37)</f>
        <v>1200</v>
      </c>
      <c r="AB37" s="139">
        <f>SUM($F37:O37)</f>
        <v>1200</v>
      </c>
      <c r="AC37" s="139">
        <f>SUM($F37:P37)</f>
        <v>1200</v>
      </c>
      <c r="AD37" s="139">
        <f>SUM($F37:Q37)</f>
        <v>1200</v>
      </c>
    </row>
    <row r="38" spans="1:30" x14ac:dyDescent="0.25">
      <c r="A38" s="106">
        <v>33</v>
      </c>
      <c r="C38" s="1" t="s">
        <v>23</v>
      </c>
      <c r="E38" s="101">
        <f t="shared" ref="E38" si="14">+E$16</f>
        <v>12</v>
      </c>
      <c r="F38" s="79">
        <f>ROUND(+$R38/$E38,2)</f>
        <v>33.33</v>
      </c>
      <c r="G38" s="79">
        <f t="shared" ref="G38:Q38" si="15">ROUND(+$R38/$E38,2)</f>
        <v>33.33</v>
      </c>
      <c r="H38" s="79">
        <f t="shared" si="15"/>
        <v>33.33</v>
      </c>
      <c r="I38" s="79">
        <f t="shared" si="15"/>
        <v>33.33</v>
      </c>
      <c r="J38" s="79">
        <f t="shared" si="15"/>
        <v>33.33</v>
      </c>
      <c r="K38" s="79">
        <f t="shared" si="15"/>
        <v>33.33</v>
      </c>
      <c r="L38" s="79">
        <f t="shared" si="15"/>
        <v>33.33</v>
      </c>
      <c r="M38" s="79">
        <f t="shared" si="15"/>
        <v>33.33</v>
      </c>
      <c r="N38" s="79">
        <f t="shared" si="15"/>
        <v>33.33</v>
      </c>
      <c r="O38" s="79">
        <f t="shared" si="15"/>
        <v>33.33</v>
      </c>
      <c r="P38" s="79">
        <f t="shared" si="15"/>
        <v>33.33</v>
      </c>
      <c r="Q38" s="79">
        <f t="shared" si="15"/>
        <v>33.33</v>
      </c>
      <c r="R38" s="79">
        <f>+'New Year-Full Year'!G38</f>
        <v>400</v>
      </c>
      <c r="S38" s="139">
        <f t="shared" si="13"/>
        <v>33.33</v>
      </c>
      <c r="T38" s="139">
        <f>SUM($F38:G38)</f>
        <v>66.66</v>
      </c>
      <c r="U38" s="139">
        <f>SUM($F38:H38)</f>
        <v>99.99</v>
      </c>
      <c r="V38" s="139">
        <f>SUM($F38:I38)</f>
        <v>133.32</v>
      </c>
      <c r="W38" s="139">
        <f>SUM($F38:J38)</f>
        <v>166.64999999999998</v>
      </c>
      <c r="X38" s="139">
        <f>SUM($F38:K38)</f>
        <v>199.97999999999996</v>
      </c>
      <c r="Y38" s="139">
        <f>SUM($F38:L38)</f>
        <v>233.30999999999995</v>
      </c>
      <c r="Z38" s="139">
        <f>SUM($F38:M38)</f>
        <v>266.63999999999993</v>
      </c>
      <c r="AA38" s="139">
        <f>SUM($F38:N38)</f>
        <v>299.96999999999991</v>
      </c>
      <c r="AB38" s="139">
        <f>SUM($F38:O38)</f>
        <v>333.2999999999999</v>
      </c>
      <c r="AC38" s="139">
        <f>SUM($F38:P38)</f>
        <v>366.62999999999988</v>
      </c>
      <c r="AD38" s="139">
        <f>SUM($F38:Q38)</f>
        <v>399.95999999999987</v>
      </c>
    </row>
    <row r="39" spans="1:30" x14ac:dyDescent="0.25">
      <c r="A39" s="106">
        <v>34</v>
      </c>
      <c r="C39" s="1" t="s">
        <v>24</v>
      </c>
      <c r="E39" s="100"/>
      <c r="F39" s="71">
        <v>0</v>
      </c>
      <c r="G39" s="71">
        <v>0</v>
      </c>
      <c r="H39" s="79">
        <f>+R39-I39-J39</f>
        <v>50</v>
      </c>
      <c r="I39" s="79">
        <f>ROUND(+$R39/3,2)</f>
        <v>50</v>
      </c>
      <c r="J39" s="79">
        <f>ROUND(+$R39/3,2)</f>
        <v>50</v>
      </c>
      <c r="K39" s="71">
        <v>0</v>
      </c>
      <c r="L39" s="71">
        <v>0</v>
      </c>
      <c r="M39" s="71">
        <v>0</v>
      </c>
      <c r="N39" s="71">
        <v>0</v>
      </c>
      <c r="O39" s="71">
        <v>0</v>
      </c>
      <c r="P39" s="71">
        <v>0</v>
      </c>
      <c r="Q39" s="71">
        <v>0</v>
      </c>
      <c r="R39" s="79">
        <f>+'New Year-Full Year'!G39</f>
        <v>150</v>
      </c>
      <c r="S39" s="139">
        <f t="shared" si="13"/>
        <v>0</v>
      </c>
      <c r="T39" s="139">
        <f>SUM($F39:G39)</f>
        <v>0</v>
      </c>
      <c r="U39" s="139">
        <f>SUM($F39:H39)</f>
        <v>50</v>
      </c>
      <c r="V39" s="139">
        <f>SUM($F39:I39)</f>
        <v>100</v>
      </c>
      <c r="W39" s="139">
        <f>SUM($F39:J39)</f>
        <v>150</v>
      </c>
      <c r="X39" s="139">
        <f>SUM($F39:K39)</f>
        <v>150</v>
      </c>
      <c r="Y39" s="139">
        <f>SUM($F39:L39)</f>
        <v>150</v>
      </c>
      <c r="Z39" s="139">
        <f>SUM($F39:M39)</f>
        <v>150</v>
      </c>
      <c r="AA39" s="139">
        <f>SUM($F39:N39)</f>
        <v>150</v>
      </c>
      <c r="AB39" s="139">
        <f>SUM($F39:O39)</f>
        <v>150</v>
      </c>
      <c r="AC39" s="139">
        <f>SUM($F39:P39)</f>
        <v>150</v>
      </c>
      <c r="AD39" s="139">
        <f>SUM($F39:Q39)</f>
        <v>150</v>
      </c>
    </row>
    <row r="40" spans="1:30" x14ac:dyDescent="0.25">
      <c r="A40" s="106">
        <v>35</v>
      </c>
      <c r="C40" s="1" t="s">
        <v>124</v>
      </c>
      <c r="E40" s="101">
        <f t="shared" ref="E40" si="16">+E$16</f>
        <v>12</v>
      </c>
      <c r="F40" s="79">
        <f>ROUND(+$R40/$E40,2)</f>
        <v>41.67</v>
      </c>
      <c r="G40" s="79">
        <f t="shared" ref="G40:Q40" si="17">ROUND(+$R40/$E40,2)</f>
        <v>41.67</v>
      </c>
      <c r="H40" s="79">
        <f t="shared" si="17"/>
        <v>41.67</v>
      </c>
      <c r="I40" s="79">
        <f t="shared" si="17"/>
        <v>41.67</v>
      </c>
      <c r="J40" s="79">
        <f t="shared" si="17"/>
        <v>41.67</v>
      </c>
      <c r="K40" s="79">
        <f t="shared" si="17"/>
        <v>41.67</v>
      </c>
      <c r="L40" s="79">
        <f t="shared" si="17"/>
        <v>41.67</v>
      </c>
      <c r="M40" s="79">
        <f t="shared" si="17"/>
        <v>41.67</v>
      </c>
      <c r="N40" s="79">
        <f t="shared" si="17"/>
        <v>41.67</v>
      </c>
      <c r="O40" s="79">
        <f t="shared" si="17"/>
        <v>41.67</v>
      </c>
      <c r="P40" s="79">
        <f t="shared" si="17"/>
        <v>41.67</v>
      </c>
      <c r="Q40" s="79">
        <f t="shared" si="17"/>
        <v>41.67</v>
      </c>
      <c r="R40" s="79">
        <f>+'New Year-Full Year'!G40</f>
        <v>500</v>
      </c>
      <c r="S40" s="139">
        <f t="shared" si="13"/>
        <v>41.67</v>
      </c>
      <c r="T40" s="139">
        <f>SUM($F40:G40)</f>
        <v>83.34</v>
      </c>
      <c r="U40" s="139">
        <f>SUM($F40:H40)</f>
        <v>125.01</v>
      </c>
      <c r="V40" s="139">
        <f>SUM($F40:I40)</f>
        <v>166.68</v>
      </c>
      <c r="W40" s="139">
        <f>SUM($F40:J40)</f>
        <v>208.35000000000002</v>
      </c>
      <c r="X40" s="139">
        <f>SUM($F40:K40)</f>
        <v>250.02000000000004</v>
      </c>
      <c r="Y40" s="139">
        <f>SUM($F40:L40)</f>
        <v>291.69000000000005</v>
      </c>
      <c r="Z40" s="139">
        <f>SUM($F40:M40)</f>
        <v>333.36000000000007</v>
      </c>
      <c r="AA40" s="139">
        <f>SUM($F40:N40)</f>
        <v>375.03000000000009</v>
      </c>
      <c r="AB40" s="139">
        <f>SUM($F40:O40)</f>
        <v>416.7000000000001</v>
      </c>
      <c r="AC40" s="139">
        <f>SUM($F40:P40)</f>
        <v>458.37000000000012</v>
      </c>
      <c r="AD40" s="139">
        <f>SUM($F40:Q40)</f>
        <v>500.04000000000013</v>
      </c>
    </row>
    <row r="41" spans="1:30" s="5" customFormat="1" x14ac:dyDescent="0.25">
      <c r="A41" s="106">
        <v>36</v>
      </c>
      <c r="B41" s="51" t="s">
        <v>25</v>
      </c>
      <c r="C41" s="51"/>
      <c r="D41" s="51"/>
      <c r="E41" s="93"/>
      <c r="F41" s="75">
        <f t="shared" ref="F41:Q41" si="18">SUM(F35:F40)</f>
        <v>441.67</v>
      </c>
      <c r="G41" s="75">
        <f t="shared" si="18"/>
        <v>441.67</v>
      </c>
      <c r="H41" s="75">
        <f t="shared" si="18"/>
        <v>491.67</v>
      </c>
      <c r="I41" s="75">
        <f t="shared" si="18"/>
        <v>491.67</v>
      </c>
      <c r="J41" s="75">
        <f t="shared" si="18"/>
        <v>491.67</v>
      </c>
      <c r="K41" s="75">
        <f t="shared" si="18"/>
        <v>441.67</v>
      </c>
      <c r="L41" s="75">
        <f t="shared" si="18"/>
        <v>441.67</v>
      </c>
      <c r="M41" s="75">
        <f t="shared" si="18"/>
        <v>1641.67</v>
      </c>
      <c r="N41" s="75">
        <f t="shared" si="18"/>
        <v>441.67</v>
      </c>
      <c r="O41" s="75">
        <f t="shared" si="18"/>
        <v>441.67</v>
      </c>
      <c r="P41" s="75">
        <f t="shared" si="18"/>
        <v>441.67</v>
      </c>
      <c r="Q41" s="75">
        <f t="shared" si="18"/>
        <v>441.67</v>
      </c>
      <c r="R41" s="75">
        <f>SUM(R35:R40)</f>
        <v>6650</v>
      </c>
      <c r="S41" s="145">
        <f t="shared" ref="S41:AD41" si="19">SUM(S35:S40)</f>
        <v>441.67</v>
      </c>
      <c r="T41" s="145">
        <f t="shared" si="19"/>
        <v>883.34</v>
      </c>
      <c r="U41" s="145">
        <f t="shared" si="19"/>
        <v>1375.01</v>
      </c>
      <c r="V41" s="145">
        <f t="shared" si="19"/>
        <v>1866.68</v>
      </c>
      <c r="W41" s="145">
        <f t="shared" si="19"/>
        <v>2358.35</v>
      </c>
      <c r="X41" s="145">
        <f t="shared" si="19"/>
        <v>2800.0200000000004</v>
      </c>
      <c r="Y41" s="145">
        <f t="shared" si="19"/>
        <v>3241.6900000000005</v>
      </c>
      <c r="Z41" s="145">
        <f t="shared" si="19"/>
        <v>4883.3600000000006</v>
      </c>
      <c r="AA41" s="145">
        <f t="shared" si="19"/>
        <v>5325.0300000000007</v>
      </c>
      <c r="AB41" s="145">
        <f t="shared" si="19"/>
        <v>5766.7000000000007</v>
      </c>
      <c r="AC41" s="145">
        <f t="shared" si="19"/>
        <v>6208.3700000000008</v>
      </c>
      <c r="AD41" s="145">
        <f t="shared" si="19"/>
        <v>6650.0400000000009</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0">+E$16</f>
        <v>12</v>
      </c>
      <c r="F43" s="85">
        <f>ROUND(+$R43/$E43,2)</f>
        <v>62.5</v>
      </c>
      <c r="G43" s="85">
        <f t="shared" ref="G43:Q43" si="21">ROUND(+$R43/$E43,2)</f>
        <v>62.5</v>
      </c>
      <c r="H43" s="85">
        <f t="shared" si="21"/>
        <v>62.5</v>
      </c>
      <c r="I43" s="85">
        <f t="shared" si="21"/>
        <v>62.5</v>
      </c>
      <c r="J43" s="85">
        <f t="shared" si="21"/>
        <v>62.5</v>
      </c>
      <c r="K43" s="85">
        <f t="shared" si="21"/>
        <v>62.5</v>
      </c>
      <c r="L43" s="85">
        <f t="shared" si="21"/>
        <v>62.5</v>
      </c>
      <c r="M43" s="85">
        <f t="shared" si="21"/>
        <v>62.5</v>
      </c>
      <c r="N43" s="85">
        <f t="shared" si="21"/>
        <v>62.5</v>
      </c>
      <c r="O43" s="85">
        <f t="shared" si="21"/>
        <v>62.5</v>
      </c>
      <c r="P43" s="85">
        <f t="shared" si="21"/>
        <v>62.5</v>
      </c>
      <c r="Q43" s="85">
        <f t="shared" si="21"/>
        <v>62.5</v>
      </c>
      <c r="R43" s="85">
        <f>+'New Year-Full Year'!G43</f>
        <v>750</v>
      </c>
      <c r="S43" s="147">
        <f t="shared" ref="S43" si="22">SUM(F43)</f>
        <v>62.5</v>
      </c>
      <c r="T43" s="147">
        <f>SUM($F43:G43)</f>
        <v>125</v>
      </c>
      <c r="U43" s="147">
        <f>SUM($F43:H43)</f>
        <v>187.5</v>
      </c>
      <c r="V43" s="147">
        <f>SUM($F43:I43)</f>
        <v>250</v>
      </c>
      <c r="W43" s="147">
        <f>SUM($F43:J43)</f>
        <v>312.5</v>
      </c>
      <c r="X43" s="147">
        <f>SUM($F43:K43)</f>
        <v>375</v>
      </c>
      <c r="Y43" s="147">
        <f>SUM($F43:L43)</f>
        <v>437.5</v>
      </c>
      <c r="Z43" s="147">
        <f>SUM($F43:M43)</f>
        <v>500</v>
      </c>
      <c r="AA43" s="147">
        <f>SUM($F43:N43)</f>
        <v>562.5</v>
      </c>
      <c r="AB43" s="147">
        <f>SUM($F43:O43)</f>
        <v>625</v>
      </c>
      <c r="AC43" s="147">
        <f>SUM($F43:P43)</f>
        <v>687.5</v>
      </c>
      <c r="AD43" s="147">
        <f>SUM($F43:Q43)</f>
        <v>750</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3">+E$16</f>
        <v>12</v>
      </c>
      <c r="F46" s="79">
        <f t="shared" ref="F46:Q49" si="24">ROUND(+$R46/$E46,2)</f>
        <v>433.33</v>
      </c>
      <c r="G46" s="79">
        <f t="shared" si="24"/>
        <v>433.33</v>
      </c>
      <c r="H46" s="79">
        <f t="shared" si="24"/>
        <v>433.33</v>
      </c>
      <c r="I46" s="79">
        <f t="shared" si="24"/>
        <v>433.33</v>
      </c>
      <c r="J46" s="79">
        <f t="shared" si="24"/>
        <v>433.33</v>
      </c>
      <c r="K46" s="79">
        <f t="shared" si="24"/>
        <v>433.33</v>
      </c>
      <c r="L46" s="79">
        <f t="shared" si="24"/>
        <v>433.33</v>
      </c>
      <c r="M46" s="79">
        <f t="shared" si="24"/>
        <v>433.33</v>
      </c>
      <c r="N46" s="79">
        <f t="shared" si="24"/>
        <v>433.33</v>
      </c>
      <c r="O46" s="79">
        <f t="shared" si="24"/>
        <v>433.33</v>
      </c>
      <c r="P46" s="79">
        <f t="shared" si="24"/>
        <v>433.33</v>
      </c>
      <c r="Q46" s="79">
        <f t="shared" si="24"/>
        <v>433.33</v>
      </c>
      <c r="R46" s="79">
        <f>+'New Year-Full Year'!G46</f>
        <v>5200</v>
      </c>
      <c r="S46" s="139">
        <f t="shared" ref="S46:S49" si="25">SUM(F46)</f>
        <v>433.33</v>
      </c>
      <c r="T46" s="139">
        <f>SUM($F46:G46)</f>
        <v>866.66</v>
      </c>
      <c r="U46" s="139">
        <f>SUM($F46:H46)</f>
        <v>1299.99</v>
      </c>
      <c r="V46" s="139">
        <f>SUM($F46:I46)</f>
        <v>1733.32</v>
      </c>
      <c r="W46" s="139">
        <f>SUM($F46:J46)</f>
        <v>2166.65</v>
      </c>
      <c r="X46" s="139">
        <f>SUM($F46:K46)</f>
        <v>2599.98</v>
      </c>
      <c r="Y46" s="139">
        <f>SUM($F46:L46)</f>
        <v>3033.31</v>
      </c>
      <c r="Z46" s="139">
        <f>SUM($F46:M46)</f>
        <v>3466.64</v>
      </c>
      <c r="AA46" s="139">
        <f>SUM($F46:N46)</f>
        <v>3899.97</v>
      </c>
      <c r="AB46" s="139">
        <f>SUM($F46:O46)</f>
        <v>4333.3</v>
      </c>
      <c r="AC46" s="139">
        <f>SUM($F46:P46)</f>
        <v>4766.63</v>
      </c>
      <c r="AD46" s="139">
        <f>SUM($F46:Q46)</f>
        <v>5199.96</v>
      </c>
    </row>
    <row r="47" spans="1:30" x14ac:dyDescent="0.25">
      <c r="A47" s="106">
        <v>42</v>
      </c>
      <c r="C47" s="1" t="s">
        <v>30</v>
      </c>
      <c r="E47" s="101">
        <f t="shared" si="23"/>
        <v>12</v>
      </c>
      <c r="F47" s="79">
        <f t="shared" si="24"/>
        <v>108.33</v>
      </c>
      <c r="G47" s="79">
        <f t="shared" si="24"/>
        <v>108.33</v>
      </c>
      <c r="H47" s="79">
        <f t="shared" si="24"/>
        <v>108.33</v>
      </c>
      <c r="I47" s="79">
        <f t="shared" si="24"/>
        <v>108.33</v>
      </c>
      <c r="J47" s="79">
        <f t="shared" si="24"/>
        <v>108.33</v>
      </c>
      <c r="K47" s="79">
        <f t="shared" si="24"/>
        <v>108.33</v>
      </c>
      <c r="L47" s="79">
        <f t="shared" si="24"/>
        <v>108.33</v>
      </c>
      <c r="M47" s="79">
        <f t="shared" si="24"/>
        <v>108.33</v>
      </c>
      <c r="N47" s="79">
        <f t="shared" si="24"/>
        <v>108.33</v>
      </c>
      <c r="O47" s="79">
        <f t="shared" si="24"/>
        <v>108.33</v>
      </c>
      <c r="P47" s="79">
        <f t="shared" si="24"/>
        <v>108.33</v>
      </c>
      <c r="Q47" s="79">
        <f t="shared" si="24"/>
        <v>108.33</v>
      </c>
      <c r="R47" s="79">
        <f>+'New Year-Full Year'!G47</f>
        <v>1300</v>
      </c>
      <c r="S47" s="139">
        <f t="shared" si="25"/>
        <v>108.33</v>
      </c>
      <c r="T47" s="139">
        <f>SUM($F47:G47)</f>
        <v>216.66</v>
      </c>
      <c r="U47" s="139">
        <f>SUM($F47:H47)</f>
        <v>324.99</v>
      </c>
      <c r="V47" s="139">
        <f>SUM($F47:I47)</f>
        <v>433.32</v>
      </c>
      <c r="W47" s="139">
        <f>SUM($F47:J47)</f>
        <v>541.65</v>
      </c>
      <c r="X47" s="139">
        <f>SUM($F47:K47)</f>
        <v>649.98</v>
      </c>
      <c r="Y47" s="139">
        <f>SUM($F47:L47)</f>
        <v>758.31000000000006</v>
      </c>
      <c r="Z47" s="139">
        <f>SUM($F47:M47)</f>
        <v>866.6400000000001</v>
      </c>
      <c r="AA47" s="139">
        <f>SUM($F47:N47)</f>
        <v>974.97000000000014</v>
      </c>
      <c r="AB47" s="139">
        <f>SUM($F47:O47)</f>
        <v>1083.3000000000002</v>
      </c>
      <c r="AC47" s="139">
        <f>SUM($F47:P47)</f>
        <v>1191.6300000000001</v>
      </c>
      <c r="AD47" s="139">
        <f>SUM($F47:Q47)</f>
        <v>1299.96</v>
      </c>
    </row>
    <row r="48" spans="1:30" x14ac:dyDescent="0.25">
      <c r="A48" s="106">
        <v>43</v>
      </c>
      <c r="C48" s="1" t="s">
        <v>31</v>
      </c>
      <c r="E48" s="101">
        <f t="shared" si="23"/>
        <v>12</v>
      </c>
      <c r="F48" s="79">
        <f t="shared" si="24"/>
        <v>66.67</v>
      </c>
      <c r="G48" s="79">
        <f t="shared" si="24"/>
        <v>66.67</v>
      </c>
      <c r="H48" s="79">
        <f t="shared" si="24"/>
        <v>66.67</v>
      </c>
      <c r="I48" s="79">
        <f t="shared" si="24"/>
        <v>66.67</v>
      </c>
      <c r="J48" s="79">
        <f t="shared" si="24"/>
        <v>66.67</v>
      </c>
      <c r="K48" s="79">
        <f t="shared" si="24"/>
        <v>66.67</v>
      </c>
      <c r="L48" s="79">
        <f t="shared" si="24"/>
        <v>66.67</v>
      </c>
      <c r="M48" s="79">
        <f t="shared" si="24"/>
        <v>66.67</v>
      </c>
      <c r="N48" s="79">
        <f t="shared" si="24"/>
        <v>66.67</v>
      </c>
      <c r="O48" s="79">
        <f t="shared" si="24"/>
        <v>66.67</v>
      </c>
      <c r="P48" s="79">
        <f t="shared" si="24"/>
        <v>66.67</v>
      </c>
      <c r="Q48" s="79">
        <f t="shared" si="24"/>
        <v>66.67</v>
      </c>
      <c r="R48" s="79">
        <f>+'New Year-Full Year'!G48</f>
        <v>800</v>
      </c>
      <c r="S48" s="139">
        <f t="shared" si="25"/>
        <v>66.67</v>
      </c>
      <c r="T48" s="139">
        <f>SUM($F48:G48)</f>
        <v>133.34</v>
      </c>
      <c r="U48" s="139">
        <f>SUM($F48:H48)</f>
        <v>200.01</v>
      </c>
      <c r="V48" s="139">
        <f>SUM($F48:I48)</f>
        <v>266.68</v>
      </c>
      <c r="W48" s="139">
        <f>SUM($F48:J48)</f>
        <v>333.35</v>
      </c>
      <c r="X48" s="139">
        <f>SUM($F48:K48)</f>
        <v>400.02000000000004</v>
      </c>
      <c r="Y48" s="139">
        <f>SUM($F48:L48)</f>
        <v>466.69000000000005</v>
      </c>
      <c r="Z48" s="139">
        <f>SUM($F48:M48)</f>
        <v>533.36</v>
      </c>
      <c r="AA48" s="139">
        <f>SUM($F48:N48)</f>
        <v>600.03</v>
      </c>
      <c r="AB48" s="139">
        <f>SUM($F48:O48)</f>
        <v>666.69999999999993</v>
      </c>
      <c r="AC48" s="139">
        <f>SUM($F48:P48)</f>
        <v>733.36999999999989</v>
      </c>
      <c r="AD48" s="139">
        <f>SUM($F48:Q48)</f>
        <v>800.03999999999985</v>
      </c>
    </row>
    <row r="49" spans="1:30" x14ac:dyDescent="0.25">
      <c r="A49" s="106">
        <v>44</v>
      </c>
      <c r="C49" s="1" t="s">
        <v>32</v>
      </c>
      <c r="E49" s="101">
        <f t="shared" si="23"/>
        <v>12</v>
      </c>
      <c r="F49" s="79">
        <f t="shared" si="24"/>
        <v>16.670000000000002</v>
      </c>
      <c r="G49" s="79">
        <f t="shared" si="24"/>
        <v>16.670000000000002</v>
      </c>
      <c r="H49" s="79">
        <f t="shared" si="24"/>
        <v>16.670000000000002</v>
      </c>
      <c r="I49" s="79">
        <f t="shared" si="24"/>
        <v>16.670000000000002</v>
      </c>
      <c r="J49" s="79">
        <f t="shared" si="24"/>
        <v>16.670000000000002</v>
      </c>
      <c r="K49" s="79">
        <f t="shared" si="24"/>
        <v>16.670000000000002</v>
      </c>
      <c r="L49" s="79">
        <f t="shared" si="24"/>
        <v>16.670000000000002</v>
      </c>
      <c r="M49" s="79">
        <f t="shared" si="24"/>
        <v>16.670000000000002</v>
      </c>
      <c r="N49" s="79">
        <f t="shared" si="24"/>
        <v>16.670000000000002</v>
      </c>
      <c r="O49" s="79">
        <f t="shared" si="24"/>
        <v>16.670000000000002</v>
      </c>
      <c r="P49" s="79">
        <f t="shared" si="24"/>
        <v>16.670000000000002</v>
      </c>
      <c r="Q49" s="79">
        <f t="shared" si="24"/>
        <v>16.670000000000002</v>
      </c>
      <c r="R49" s="79">
        <f>+'New Year-Full Year'!G49</f>
        <v>200</v>
      </c>
      <c r="S49" s="139">
        <f t="shared" si="25"/>
        <v>16.670000000000002</v>
      </c>
      <c r="T49" s="139">
        <f>SUM($F49:G49)</f>
        <v>33.340000000000003</v>
      </c>
      <c r="U49" s="139">
        <f>SUM($F49:H49)</f>
        <v>50.010000000000005</v>
      </c>
      <c r="V49" s="139">
        <f>SUM($F49:I49)</f>
        <v>66.680000000000007</v>
      </c>
      <c r="W49" s="139">
        <f>SUM($F49:J49)</f>
        <v>83.350000000000009</v>
      </c>
      <c r="X49" s="139">
        <f>SUM($F49:K49)</f>
        <v>100.02000000000001</v>
      </c>
      <c r="Y49" s="139">
        <f>SUM($F49:L49)</f>
        <v>116.69000000000001</v>
      </c>
      <c r="Z49" s="139">
        <f>SUM($F49:M49)</f>
        <v>133.36000000000001</v>
      </c>
      <c r="AA49" s="139">
        <f>SUM($F49:N49)</f>
        <v>150.03000000000003</v>
      </c>
      <c r="AB49" s="139">
        <f>SUM($F49:O49)</f>
        <v>166.70000000000005</v>
      </c>
      <c r="AC49" s="139">
        <f>SUM($F49:P49)</f>
        <v>183.37000000000006</v>
      </c>
      <c r="AD49" s="139">
        <f>SUM($F49:Q49)</f>
        <v>200.04000000000008</v>
      </c>
    </row>
    <row r="50" spans="1:30" s="5" customFormat="1" x14ac:dyDescent="0.25">
      <c r="A50" s="106">
        <v>45</v>
      </c>
      <c r="B50" s="51" t="s">
        <v>28</v>
      </c>
      <c r="C50" s="51"/>
      <c r="D50" s="51"/>
      <c r="E50" s="93"/>
      <c r="F50" s="75">
        <f t="shared" ref="F50:Q50" si="26">SUM(F46:F49)</f>
        <v>624.99999999999989</v>
      </c>
      <c r="G50" s="75">
        <f t="shared" si="26"/>
        <v>624.99999999999989</v>
      </c>
      <c r="H50" s="75">
        <f t="shared" si="26"/>
        <v>624.99999999999989</v>
      </c>
      <c r="I50" s="75">
        <f t="shared" si="26"/>
        <v>624.99999999999989</v>
      </c>
      <c r="J50" s="75">
        <f t="shared" si="26"/>
        <v>624.99999999999989</v>
      </c>
      <c r="K50" s="75">
        <f t="shared" si="26"/>
        <v>624.99999999999989</v>
      </c>
      <c r="L50" s="75">
        <f t="shared" si="26"/>
        <v>624.99999999999989</v>
      </c>
      <c r="M50" s="75">
        <f t="shared" si="26"/>
        <v>624.99999999999989</v>
      </c>
      <c r="N50" s="75">
        <f t="shared" si="26"/>
        <v>624.99999999999989</v>
      </c>
      <c r="O50" s="75">
        <f t="shared" si="26"/>
        <v>624.99999999999989</v>
      </c>
      <c r="P50" s="75">
        <f t="shared" si="26"/>
        <v>624.99999999999989</v>
      </c>
      <c r="Q50" s="75">
        <f t="shared" si="26"/>
        <v>624.99999999999989</v>
      </c>
      <c r="R50" s="75">
        <f>SUM(R46:R49)</f>
        <v>7500</v>
      </c>
      <c r="S50" s="145">
        <f t="shared" ref="S50:AD50" si="27">SUM(S46:S49)</f>
        <v>624.99999999999989</v>
      </c>
      <c r="T50" s="145">
        <f t="shared" si="27"/>
        <v>1249.9999999999998</v>
      </c>
      <c r="U50" s="145">
        <f t="shared" si="27"/>
        <v>1875</v>
      </c>
      <c r="V50" s="145">
        <f t="shared" si="27"/>
        <v>2499.9999999999995</v>
      </c>
      <c r="W50" s="145">
        <f t="shared" si="27"/>
        <v>3125</v>
      </c>
      <c r="X50" s="145">
        <f t="shared" si="27"/>
        <v>3750</v>
      </c>
      <c r="Y50" s="145">
        <f t="shared" si="27"/>
        <v>4374.9999999999991</v>
      </c>
      <c r="Z50" s="145">
        <f t="shared" si="27"/>
        <v>4999.9999999999991</v>
      </c>
      <c r="AA50" s="145">
        <f t="shared" si="27"/>
        <v>5624.9999999999991</v>
      </c>
      <c r="AB50" s="145">
        <f t="shared" si="27"/>
        <v>6250</v>
      </c>
      <c r="AC50" s="145">
        <f t="shared" si="27"/>
        <v>6875</v>
      </c>
      <c r="AD50" s="145">
        <f t="shared" si="27"/>
        <v>7500</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8">+E$16</f>
        <v>12</v>
      </c>
      <c r="F53" s="79">
        <f t="shared" ref="F53:Q55" si="29">ROUND(+$R53/$E53,2)</f>
        <v>666.67</v>
      </c>
      <c r="G53" s="79">
        <f t="shared" si="29"/>
        <v>666.67</v>
      </c>
      <c r="H53" s="79">
        <f t="shared" si="29"/>
        <v>666.67</v>
      </c>
      <c r="I53" s="79">
        <f t="shared" si="29"/>
        <v>666.67</v>
      </c>
      <c r="J53" s="79">
        <f t="shared" si="29"/>
        <v>666.67</v>
      </c>
      <c r="K53" s="79">
        <f t="shared" si="29"/>
        <v>666.67</v>
      </c>
      <c r="L53" s="79">
        <f t="shared" si="29"/>
        <v>666.67</v>
      </c>
      <c r="M53" s="79">
        <f t="shared" si="29"/>
        <v>666.67</v>
      </c>
      <c r="N53" s="79">
        <f t="shared" si="29"/>
        <v>666.67</v>
      </c>
      <c r="O53" s="79">
        <f t="shared" si="29"/>
        <v>666.67</v>
      </c>
      <c r="P53" s="79">
        <f t="shared" si="29"/>
        <v>666.67</v>
      </c>
      <c r="Q53" s="79">
        <f t="shared" si="29"/>
        <v>666.67</v>
      </c>
      <c r="R53" s="79">
        <f>+'New Year-Full Year'!G53</f>
        <v>8000</v>
      </c>
      <c r="S53" s="139">
        <f t="shared" ref="S53:S55" si="30">SUM(F53)</f>
        <v>666.67</v>
      </c>
      <c r="T53" s="139">
        <f>SUM($F53:G53)</f>
        <v>1333.34</v>
      </c>
      <c r="U53" s="139">
        <f>SUM($F53:H53)</f>
        <v>2000.0099999999998</v>
      </c>
      <c r="V53" s="139">
        <f>SUM($F53:I53)</f>
        <v>2666.68</v>
      </c>
      <c r="W53" s="139">
        <f>SUM($F53:J53)</f>
        <v>3333.35</v>
      </c>
      <c r="X53" s="139">
        <f>SUM($F53:K53)</f>
        <v>4000.02</v>
      </c>
      <c r="Y53" s="139">
        <f>SUM($F53:L53)</f>
        <v>4666.6899999999996</v>
      </c>
      <c r="Z53" s="139">
        <f>SUM($F53:M53)</f>
        <v>5333.36</v>
      </c>
      <c r="AA53" s="139">
        <f>SUM($F53:N53)</f>
        <v>6000.03</v>
      </c>
      <c r="AB53" s="139">
        <f>SUM($F53:O53)</f>
        <v>6666.7</v>
      </c>
      <c r="AC53" s="139">
        <f>SUM($F53:P53)</f>
        <v>7333.37</v>
      </c>
      <c r="AD53" s="139">
        <f>SUM($F53:Q53)</f>
        <v>8000.04</v>
      </c>
    </row>
    <row r="54" spans="1:30" x14ac:dyDescent="0.25">
      <c r="A54" s="106">
        <v>49</v>
      </c>
      <c r="C54" s="1" t="s">
        <v>143</v>
      </c>
      <c r="E54" s="101">
        <f t="shared" si="28"/>
        <v>12</v>
      </c>
      <c r="F54" s="79">
        <f t="shared" si="29"/>
        <v>0</v>
      </c>
      <c r="G54" s="79">
        <f t="shared" si="29"/>
        <v>0</v>
      </c>
      <c r="H54" s="79">
        <f t="shared" si="29"/>
        <v>0</v>
      </c>
      <c r="I54" s="79">
        <f t="shared" si="29"/>
        <v>0</v>
      </c>
      <c r="J54" s="79">
        <f t="shared" si="29"/>
        <v>0</v>
      </c>
      <c r="K54" s="79">
        <f t="shared" si="29"/>
        <v>0</v>
      </c>
      <c r="L54" s="79">
        <f t="shared" si="29"/>
        <v>0</v>
      </c>
      <c r="M54" s="79">
        <f t="shared" si="29"/>
        <v>0</v>
      </c>
      <c r="N54" s="79">
        <f t="shared" si="29"/>
        <v>0</v>
      </c>
      <c r="O54" s="79">
        <f t="shared" si="29"/>
        <v>0</v>
      </c>
      <c r="P54" s="79">
        <f t="shared" si="29"/>
        <v>0</v>
      </c>
      <c r="Q54" s="79">
        <f t="shared" si="29"/>
        <v>0</v>
      </c>
      <c r="R54" s="79">
        <f>+'New Year-Full Year'!G54</f>
        <v>0</v>
      </c>
      <c r="S54" s="139">
        <f t="shared" si="3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f t="shared" si="28"/>
        <v>12</v>
      </c>
      <c r="F55" s="79">
        <f t="shared" si="29"/>
        <v>12.5</v>
      </c>
      <c r="G55" s="79">
        <f t="shared" si="29"/>
        <v>12.5</v>
      </c>
      <c r="H55" s="79">
        <f t="shared" si="29"/>
        <v>12.5</v>
      </c>
      <c r="I55" s="79">
        <f t="shared" si="29"/>
        <v>12.5</v>
      </c>
      <c r="J55" s="79">
        <f t="shared" si="29"/>
        <v>12.5</v>
      </c>
      <c r="K55" s="79">
        <f t="shared" si="29"/>
        <v>12.5</v>
      </c>
      <c r="L55" s="79">
        <f t="shared" si="29"/>
        <v>12.5</v>
      </c>
      <c r="M55" s="79">
        <f t="shared" si="29"/>
        <v>12.5</v>
      </c>
      <c r="N55" s="79">
        <f t="shared" si="29"/>
        <v>12.5</v>
      </c>
      <c r="O55" s="79">
        <f t="shared" si="29"/>
        <v>12.5</v>
      </c>
      <c r="P55" s="79">
        <f t="shared" si="29"/>
        <v>12.5</v>
      </c>
      <c r="Q55" s="79">
        <f t="shared" si="29"/>
        <v>12.5</v>
      </c>
      <c r="R55" s="79">
        <f>+'New Year-Full Year'!G55</f>
        <v>150</v>
      </c>
      <c r="S55" s="139">
        <f t="shared" si="30"/>
        <v>12.5</v>
      </c>
      <c r="T55" s="139">
        <f>SUM($F55:G55)</f>
        <v>25</v>
      </c>
      <c r="U55" s="139">
        <f>SUM($F55:H55)</f>
        <v>37.5</v>
      </c>
      <c r="V55" s="139">
        <f>SUM($F55:I55)</f>
        <v>50</v>
      </c>
      <c r="W55" s="139">
        <f>SUM($F55:J55)</f>
        <v>62.5</v>
      </c>
      <c r="X55" s="139">
        <f>SUM($F55:K55)</f>
        <v>75</v>
      </c>
      <c r="Y55" s="139">
        <f>SUM($F55:L55)</f>
        <v>87.5</v>
      </c>
      <c r="Z55" s="139">
        <f>SUM($F55:M55)</f>
        <v>100</v>
      </c>
      <c r="AA55" s="139">
        <f>SUM($F55:N55)</f>
        <v>112.5</v>
      </c>
      <c r="AB55" s="139">
        <f>SUM($F55:O55)</f>
        <v>125</v>
      </c>
      <c r="AC55" s="139">
        <f>SUM($F55:P55)</f>
        <v>137.5</v>
      </c>
      <c r="AD55" s="139">
        <f>SUM($F55:Q55)</f>
        <v>150</v>
      </c>
    </row>
    <row r="56" spans="1:30" s="5" customFormat="1" x14ac:dyDescent="0.25">
      <c r="A56" s="106">
        <v>51</v>
      </c>
      <c r="B56" s="51" t="s">
        <v>35</v>
      </c>
      <c r="C56" s="51"/>
      <c r="D56" s="51"/>
      <c r="E56" s="93"/>
      <c r="F56" s="75">
        <f t="shared" ref="F56:Q56" si="31">SUM(F53:F55)</f>
        <v>679.17</v>
      </c>
      <c r="G56" s="75">
        <f t="shared" si="31"/>
        <v>679.17</v>
      </c>
      <c r="H56" s="75">
        <f t="shared" si="31"/>
        <v>679.17</v>
      </c>
      <c r="I56" s="75">
        <f t="shared" si="31"/>
        <v>679.17</v>
      </c>
      <c r="J56" s="75">
        <f t="shared" si="31"/>
        <v>679.17</v>
      </c>
      <c r="K56" s="75">
        <f t="shared" si="31"/>
        <v>679.17</v>
      </c>
      <c r="L56" s="75">
        <f t="shared" si="31"/>
        <v>679.17</v>
      </c>
      <c r="M56" s="75">
        <f t="shared" si="31"/>
        <v>679.17</v>
      </c>
      <c r="N56" s="75">
        <f t="shared" si="31"/>
        <v>679.17</v>
      </c>
      <c r="O56" s="75">
        <f t="shared" si="31"/>
        <v>679.17</v>
      </c>
      <c r="P56" s="75">
        <f t="shared" si="31"/>
        <v>679.17</v>
      </c>
      <c r="Q56" s="75">
        <f t="shared" si="31"/>
        <v>679.17</v>
      </c>
      <c r="R56" s="75">
        <f>SUM(R53:R55)</f>
        <v>8150</v>
      </c>
      <c r="S56" s="145">
        <f t="shared" ref="S56:AD56" si="32">SUM(S53:S55)</f>
        <v>679.17</v>
      </c>
      <c r="T56" s="145">
        <f t="shared" si="32"/>
        <v>1358.34</v>
      </c>
      <c r="U56" s="145">
        <f t="shared" si="32"/>
        <v>2037.5099999999998</v>
      </c>
      <c r="V56" s="145">
        <f t="shared" si="32"/>
        <v>2716.68</v>
      </c>
      <c r="W56" s="145">
        <f t="shared" si="32"/>
        <v>3395.85</v>
      </c>
      <c r="X56" s="145">
        <f t="shared" si="32"/>
        <v>4075.02</v>
      </c>
      <c r="Y56" s="145">
        <f t="shared" si="32"/>
        <v>4754.1899999999996</v>
      </c>
      <c r="Z56" s="145">
        <f t="shared" si="32"/>
        <v>5433.36</v>
      </c>
      <c r="AA56" s="145">
        <f t="shared" si="32"/>
        <v>6112.53</v>
      </c>
      <c r="AB56" s="145">
        <f t="shared" si="32"/>
        <v>6791.7</v>
      </c>
      <c r="AC56" s="145">
        <f t="shared" si="32"/>
        <v>7470.87</v>
      </c>
      <c r="AD56" s="145">
        <f t="shared" si="32"/>
        <v>8150.04</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f t="shared" ref="E59:E60" si="33">+E$16</f>
        <v>12</v>
      </c>
      <c r="F59" s="79">
        <f t="shared" ref="F59:P60" si="34">ROUND(+$R59/$E59,2)</f>
        <v>25</v>
      </c>
      <c r="G59" s="79">
        <f t="shared" si="34"/>
        <v>25</v>
      </c>
      <c r="H59" s="79">
        <f t="shared" si="34"/>
        <v>25</v>
      </c>
      <c r="I59" s="79">
        <f t="shared" si="34"/>
        <v>25</v>
      </c>
      <c r="J59" s="79">
        <f t="shared" si="34"/>
        <v>25</v>
      </c>
      <c r="K59" s="79">
        <f t="shared" si="34"/>
        <v>25</v>
      </c>
      <c r="L59" s="79">
        <f t="shared" si="34"/>
        <v>25</v>
      </c>
      <c r="M59" s="79">
        <f t="shared" si="34"/>
        <v>25</v>
      </c>
      <c r="N59" s="79">
        <f>ROUND(+$R59/$E59,2)</f>
        <v>25</v>
      </c>
      <c r="O59" s="79">
        <f t="shared" si="34"/>
        <v>25</v>
      </c>
      <c r="P59" s="79">
        <f t="shared" si="34"/>
        <v>25</v>
      </c>
      <c r="Q59" s="79">
        <f>ROUND(+$R59/$E59,2)</f>
        <v>25</v>
      </c>
      <c r="R59" s="79">
        <f>+'New Year-Full Year'!G59</f>
        <v>300</v>
      </c>
      <c r="S59" s="139">
        <f t="shared" ref="S59:S60" si="35">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33"/>
        <v>12</v>
      </c>
      <c r="F60" s="79">
        <f t="shared" si="34"/>
        <v>25</v>
      </c>
      <c r="G60" s="79">
        <f t="shared" si="34"/>
        <v>25</v>
      </c>
      <c r="H60" s="79">
        <f t="shared" si="34"/>
        <v>25</v>
      </c>
      <c r="I60" s="79">
        <f t="shared" si="34"/>
        <v>25</v>
      </c>
      <c r="J60" s="79">
        <f t="shared" si="34"/>
        <v>25</v>
      </c>
      <c r="K60" s="79">
        <f t="shared" si="34"/>
        <v>25</v>
      </c>
      <c r="L60" s="79">
        <f t="shared" si="34"/>
        <v>25</v>
      </c>
      <c r="M60" s="79">
        <f t="shared" si="34"/>
        <v>25</v>
      </c>
      <c r="N60" s="79">
        <f>ROUND(+$R60/$E60,2)</f>
        <v>25</v>
      </c>
      <c r="O60" s="79">
        <f t="shared" si="34"/>
        <v>25</v>
      </c>
      <c r="P60" s="79">
        <f t="shared" si="34"/>
        <v>25</v>
      </c>
      <c r="Q60" s="79">
        <f>ROUND(+$R60/$E60,2)</f>
        <v>25</v>
      </c>
      <c r="R60" s="79">
        <f>+'New Year-Full Year'!G60</f>
        <v>300</v>
      </c>
      <c r="S60" s="139">
        <f t="shared" si="35"/>
        <v>25</v>
      </c>
      <c r="T60" s="139">
        <f>SUM($F60:G60)</f>
        <v>50</v>
      </c>
      <c r="U60" s="139">
        <f>SUM($F60:H60)</f>
        <v>75</v>
      </c>
      <c r="V60" s="139">
        <f>SUM($F60:I60)</f>
        <v>100</v>
      </c>
      <c r="W60" s="139">
        <f>SUM($F60:J60)</f>
        <v>125</v>
      </c>
      <c r="X60" s="139">
        <f>SUM($F60:K60)</f>
        <v>150</v>
      </c>
      <c r="Y60" s="139">
        <f>SUM($F60:L60)</f>
        <v>175</v>
      </c>
      <c r="Z60" s="139">
        <f>SUM($F60:M60)</f>
        <v>200</v>
      </c>
      <c r="AA60" s="139">
        <f>SUM($F60:N60)</f>
        <v>225</v>
      </c>
      <c r="AB60" s="139">
        <f>SUM($F60:O60)</f>
        <v>250</v>
      </c>
      <c r="AC60" s="139">
        <f>SUM($F60:P60)</f>
        <v>275</v>
      </c>
      <c r="AD60" s="139">
        <f>SUM($F60:Q60)</f>
        <v>300</v>
      </c>
    </row>
    <row r="61" spans="1:30" s="5" customFormat="1" x14ac:dyDescent="0.25">
      <c r="A61" s="106">
        <v>56</v>
      </c>
      <c r="B61" s="51" t="s">
        <v>127</v>
      </c>
      <c r="C61" s="51"/>
      <c r="D61" s="51"/>
      <c r="E61" s="93"/>
      <c r="F61" s="75">
        <f t="shared" ref="F61:Q61" si="36">SUM(F59:F60)</f>
        <v>50</v>
      </c>
      <c r="G61" s="75">
        <f t="shared" si="36"/>
        <v>50</v>
      </c>
      <c r="H61" s="75">
        <f t="shared" si="36"/>
        <v>50</v>
      </c>
      <c r="I61" s="75">
        <f t="shared" si="36"/>
        <v>50</v>
      </c>
      <c r="J61" s="75">
        <f t="shared" si="36"/>
        <v>50</v>
      </c>
      <c r="K61" s="75">
        <f t="shared" si="36"/>
        <v>50</v>
      </c>
      <c r="L61" s="75">
        <f t="shared" si="36"/>
        <v>50</v>
      </c>
      <c r="M61" s="75">
        <f t="shared" si="36"/>
        <v>50</v>
      </c>
      <c r="N61" s="75">
        <f t="shared" si="36"/>
        <v>50</v>
      </c>
      <c r="O61" s="75">
        <f t="shared" si="36"/>
        <v>50</v>
      </c>
      <c r="P61" s="75">
        <f t="shared" si="36"/>
        <v>50</v>
      </c>
      <c r="Q61" s="75">
        <f t="shared" si="36"/>
        <v>50</v>
      </c>
      <c r="R61" s="75">
        <f>SUM(R59:R60)</f>
        <v>600</v>
      </c>
      <c r="S61" s="145">
        <f t="shared" ref="S61:AD61" si="37">SUM(S59:S60)</f>
        <v>50</v>
      </c>
      <c r="T61" s="145">
        <f t="shared" si="37"/>
        <v>100</v>
      </c>
      <c r="U61" s="145">
        <f t="shared" si="37"/>
        <v>150</v>
      </c>
      <c r="V61" s="145">
        <f t="shared" si="37"/>
        <v>200</v>
      </c>
      <c r="W61" s="145">
        <f t="shared" si="37"/>
        <v>250</v>
      </c>
      <c r="X61" s="145">
        <f t="shared" si="37"/>
        <v>300</v>
      </c>
      <c r="Y61" s="145">
        <f t="shared" si="37"/>
        <v>350</v>
      </c>
      <c r="Z61" s="145">
        <f t="shared" si="37"/>
        <v>400</v>
      </c>
      <c r="AA61" s="145">
        <f t="shared" si="37"/>
        <v>450</v>
      </c>
      <c r="AB61" s="145">
        <f t="shared" si="37"/>
        <v>500</v>
      </c>
      <c r="AC61" s="145">
        <f t="shared" si="37"/>
        <v>550</v>
      </c>
      <c r="AD61" s="145">
        <f t="shared" si="37"/>
        <v>600</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8">+E$16</f>
        <v>12</v>
      </c>
      <c r="F63" s="86">
        <f t="shared" ref="F63:Q63" si="39">ROUND(+$R63/$E63,2)</f>
        <v>16.670000000000002</v>
      </c>
      <c r="G63" s="86">
        <f t="shared" si="39"/>
        <v>16.670000000000002</v>
      </c>
      <c r="H63" s="86">
        <f t="shared" si="39"/>
        <v>16.670000000000002</v>
      </c>
      <c r="I63" s="86">
        <f t="shared" si="39"/>
        <v>16.670000000000002</v>
      </c>
      <c r="J63" s="86">
        <f t="shared" si="39"/>
        <v>16.670000000000002</v>
      </c>
      <c r="K63" s="86">
        <f t="shared" si="39"/>
        <v>16.670000000000002</v>
      </c>
      <c r="L63" s="86">
        <f t="shared" si="39"/>
        <v>16.670000000000002</v>
      </c>
      <c r="M63" s="86">
        <f t="shared" si="39"/>
        <v>16.670000000000002</v>
      </c>
      <c r="N63" s="86">
        <f t="shared" si="39"/>
        <v>16.670000000000002</v>
      </c>
      <c r="O63" s="86">
        <f t="shared" si="39"/>
        <v>16.670000000000002</v>
      </c>
      <c r="P63" s="86">
        <f t="shared" si="39"/>
        <v>16.670000000000002</v>
      </c>
      <c r="Q63" s="86">
        <f t="shared" si="39"/>
        <v>16.670000000000002</v>
      </c>
      <c r="R63" s="86">
        <f>+'New Year-Full Year'!G63</f>
        <v>200</v>
      </c>
      <c r="S63" s="147">
        <f t="shared" ref="S63" si="40">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9">
        <f>+$R66/2</f>
        <v>150</v>
      </c>
      <c r="P66" s="79">
        <f>+$R66/2</f>
        <v>150</v>
      </c>
      <c r="Q66" s="71">
        <v>0</v>
      </c>
      <c r="R66" s="79">
        <f>+'New Year-Full Year'!G66</f>
        <v>300</v>
      </c>
      <c r="S66" s="139">
        <f t="shared" ref="S66:S70" si="41">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150</v>
      </c>
      <c r="AC66" s="139">
        <f>SUM($F66:P66)</f>
        <v>300</v>
      </c>
      <c r="AD66" s="139">
        <f>SUM($F66:Q66)</f>
        <v>300</v>
      </c>
    </row>
    <row r="67" spans="1:30" x14ac:dyDescent="0.25">
      <c r="A67" s="106">
        <v>62</v>
      </c>
      <c r="C67" s="1" t="s">
        <v>39</v>
      </c>
      <c r="F67" s="71">
        <v>0</v>
      </c>
      <c r="G67" s="71">
        <v>0</v>
      </c>
      <c r="H67" s="71">
        <v>0</v>
      </c>
      <c r="I67" s="71">
        <v>0</v>
      </c>
      <c r="J67" s="71">
        <v>0</v>
      </c>
      <c r="K67" s="71">
        <v>0</v>
      </c>
      <c r="L67" s="71">
        <v>0</v>
      </c>
      <c r="M67" s="71">
        <v>0</v>
      </c>
      <c r="N67" s="71">
        <v>0</v>
      </c>
      <c r="O67" s="79">
        <f>+R67</f>
        <v>800</v>
      </c>
      <c r="P67" s="71">
        <v>0</v>
      </c>
      <c r="Q67" s="71">
        <v>0</v>
      </c>
      <c r="R67" s="79">
        <f>+'New Year-Full Year'!G67</f>
        <v>800</v>
      </c>
      <c r="S67" s="139">
        <f t="shared" si="41"/>
        <v>0</v>
      </c>
      <c r="T67" s="139">
        <f>SUM($F67:G67)</f>
        <v>0</v>
      </c>
      <c r="U67" s="139">
        <f>SUM($F67:H67)</f>
        <v>0</v>
      </c>
      <c r="V67" s="139">
        <f>SUM($F67:I67)</f>
        <v>0</v>
      </c>
      <c r="W67" s="139">
        <f>SUM($F67:J67)</f>
        <v>0</v>
      </c>
      <c r="X67" s="139">
        <f>SUM($F67:K67)</f>
        <v>0</v>
      </c>
      <c r="Y67" s="139">
        <f>SUM($F67:L67)</f>
        <v>0</v>
      </c>
      <c r="Z67" s="139">
        <f>SUM($F67:M67)</f>
        <v>0</v>
      </c>
      <c r="AA67" s="139">
        <f>SUM($F67:N67)</f>
        <v>0</v>
      </c>
      <c r="AB67" s="139">
        <f>SUM($F67:O67)</f>
        <v>800</v>
      </c>
      <c r="AC67" s="139">
        <f>SUM($F67:P67)</f>
        <v>800</v>
      </c>
      <c r="AD67" s="139">
        <f>SUM($F67:Q67)</f>
        <v>800</v>
      </c>
    </row>
    <row r="68" spans="1:30" x14ac:dyDescent="0.25">
      <c r="A68" s="106">
        <v>63</v>
      </c>
      <c r="C68" s="1" t="s">
        <v>40</v>
      </c>
      <c r="F68" s="71">
        <v>0</v>
      </c>
      <c r="G68" s="71">
        <v>0</v>
      </c>
      <c r="H68" s="71">
        <v>0</v>
      </c>
      <c r="I68" s="71">
        <v>0</v>
      </c>
      <c r="J68" s="79">
        <f>+R68</f>
        <v>700</v>
      </c>
      <c r="K68" s="71">
        <v>0</v>
      </c>
      <c r="L68" s="71">
        <v>0</v>
      </c>
      <c r="M68" s="71">
        <v>0</v>
      </c>
      <c r="N68" s="71">
        <v>0</v>
      </c>
      <c r="O68" s="71">
        <v>0</v>
      </c>
      <c r="P68" s="71">
        <v>0</v>
      </c>
      <c r="Q68" s="71">
        <v>0</v>
      </c>
      <c r="R68" s="79">
        <f>+'New Year-Full Year'!G68</f>
        <v>700</v>
      </c>
      <c r="S68" s="139">
        <f t="shared" si="41"/>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2">+E$16</f>
        <v>12</v>
      </c>
      <c r="F69" s="79">
        <f t="shared" ref="F69:Q70" si="43">ROUND(+$R69/$E69,2)</f>
        <v>41.67</v>
      </c>
      <c r="G69" s="79">
        <f t="shared" si="43"/>
        <v>41.67</v>
      </c>
      <c r="H69" s="79">
        <f t="shared" si="43"/>
        <v>41.67</v>
      </c>
      <c r="I69" s="79">
        <f t="shared" si="43"/>
        <v>41.67</v>
      </c>
      <c r="J69" s="79">
        <f t="shared" si="43"/>
        <v>41.67</v>
      </c>
      <c r="K69" s="79">
        <f t="shared" si="43"/>
        <v>41.67</v>
      </c>
      <c r="L69" s="79">
        <f t="shared" si="43"/>
        <v>41.67</v>
      </c>
      <c r="M69" s="79">
        <f t="shared" si="43"/>
        <v>41.67</v>
      </c>
      <c r="N69" s="79">
        <f t="shared" si="43"/>
        <v>41.67</v>
      </c>
      <c r="O69" s="79">
        <f t="shared" si="43"/>
        <v>41.67</v>
      </c>
      <c r="P69" s="79">
        <f t="shared" si="43"/>
        <v>41.67</v>
      </c>
      <c r="Q69" s="79">
        <f t="shared" si="43"/>
        <v>41.67</v>
      </c>
      <c r="R69" s="79">
        <f>+'New Year-Full Year'!G69</f>
        <v>500</v>
      </c>
      <c r="S69" s="139">
        <f t="shared" si="41"/>
        <v>41.67</v>
      </c>
      <c r="T69" s="139">
        <f>SUM($F69:G69)</f>
        <v>83.34</v>
      </c>
      <c r="U69" s="139">
        <f>SUM($F69:H69)</f>
        <v>125.01</v>
      </c>
      <c r="V69" s="139">
        <f>SUM($F69:I69)</f>
        <v>166.68</v>
      </c>
      <c r="W69" s="139">
        <f>SUM($F69:J69)</f>
        <v>208.35000000000002</v>
      </c>
      <c r="X69" s="139">
        <f>SUM($F69:K69)</f>
        <v>250.02000000000004</v>
      </c>
      <c r="Y69" s="139">
        <f>SUM($F69:L69)</f>
        <v>291.69000000000005</v>
      </c>
      <c r="Z69" s="139">
        <f>SUM($F69:M69)</f>
        <v>333.36000000000007</v>
      </c>
      <c r="AA69" s="139">
        <f>SUM($F69:N69)</f>
        <v>375.03000000000009</v>
      </c>
      <c r="AB69" s="139">
        <f>SUM($F69:O69)</f>
        <v>416.7000000000001</v>
      </c>
      <c r="AC69" s="139">
        <f>SUM($F69:P69)</f>
        <v>458.37000000000012</v>
      </c>
      <c r="AD69" s="139">
        <f>SUM($F69:Q69)</f>
        <v>500.04000000000013</v>
      </c>
    </row>
    <row r="70" spans="1:30" x14ac:dyDescent="0.25">
      <c r="A70" s="106">
        <v>65</v>
      </c>
      <c r="C70" s="1" t="s">
        <v>42</v>
      </c>
      <c r="E70" s="101">
        <f t="shared" si="42"/>
        <v>12</v>
      </c>
      <c r="F70" s="79">
        <f t="shared" si="43"/>
        <v>66.67</v>
      </c>
      <c r="G70" s="79">
        <f t="shared" si="43"/>
        <v>66.67</v>
      </c>
      <c r="H70" s="79">
        <f t="shared" si="43"/>
        <v>66.67</v>
      </c>
      <c r="I70" s="79">
        <f t="shared" si="43"/>
        <v>66.67</v>
      </c>
      <c r="J70" s="79">
        <f t="shared" si="43"/>
        <v>66.67</v>
      </c>
      <c r="K70" s="79">
        <f t="shared" si="43"/>
        <v>66.67</v>
      </c>
      <c r="L70" s="79">
        <f t="shared" si="43"/>
        <v>66.67</v>
      </c>
      <c r="M70" s="79">
        <f t="shared" si="43"/>
        <v>66.67</v>
      </c>
      <c r="N70" s="79">
        <f t="shared" si="43"/>
        <v>66.67</v>
      </c>
      <c r="O70" s="79">
        <f t="shared" si="43"/>
        <v>66.67</v>
      </c>
      <c r="P70" s="79">
        <f t="shared" si="43"/>
        <v>66.67</v>
      </c>
      <c r="Q70" s="79">
        <f t="shared" si="43"/>
        <v>66.67</v>
      </c>
      <c r="R70" s="79">
        <f>+'New Year-Full Year'!G70</f>
        <v>800</v>
      </c>
      <c r="S70" s="139">
        <f t="shared" si="41"/>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4">SUM(F66:F70)</f>
        <v>108.34</v>
      </c>
      <c r="G71" s="75">
        <f t="shared" si="44"/>
        <v>108.34</v>
      </c>
      <c r="H71" s="75">
        <f t="shared" si="44"/>
        <v>108.34</v>
      </c>
      <c r="I71" s="75">
        <f t="shared" si="44"/>
        <v>108.34</v>
      </c>
      <c r="J71" s="75">
        <f t="shared" si="44"/>
        <v>808.33999999999992</v>
      </c>
      <c r="K71" s="75">
        <f t="shared" si="44"/>
        <v>108.34</v>
      </c>
      <c r="L71" s="75">
        <f t="shared" si="44"/>
        <v>108.34</v>
      </c>
      <c r="M71" s="75">
        <f t="shared" si="44"/>
        <v>108.34</v>
      </c>
      <c r="N71" s="75">
        <f t="shared" si="44"/>
        <v>108.34</v>
      </c>
      <c r="O71" s="75">
        <f t="shared" si="44"/>
        <v>1058.3399999999999</v>
      </c>
      <c r="P71" s="75">
        <f t="shared" si="44"/>
        <v>258.34000000000003</v>
      </c>
      <c r="Q71" s="75">
        <f t="shared" si="44"/>
        <v>108.34</v>
      </c>
      <c r="R71" s="75">
        <f>SUM(R66:R70)</f>
        <v>3100</v>
      </c>
      <c r="S71" s="145">
        <f t="shared" ref="S71:AD71" si="45">SUM(S66:S70)</f>
        <v>108.34</v>
      </c>
      <c r="T71" s="145">
        <f t="shared" si="45"/>
        <v>216.68</v>
      </c>
      <c r="U71" s="145">
        <f t="shared" si="45"/>
        <v>325.02</v>
      </c>
      <c r="V71" s="145">
        <f t="shared" si="45"/>
        <v>433.36</v>
      </c>
      <c r="W71" s="145">
        <f t="shared" si="45"/>
        <v>1241.7</v>
      </c>
      <c r="X71" s="145">
        <f t="shared" si="45"/>
        <v>1350.04</v>
      </c>
      <c r="Y71" s="145">
        <f t="shared" si="45"/>
        <v>1458.38</v>
      </c>
      <c r="Z71" s="145">
        <f t="shared" si="45"/>
        <v>1566.7200000000003</v>
      </c>
      <c r="AA71" s="145">
        <f t="shared" si="45"/>
        <v>1675.0600000000002</v>
      </c>
      <c r="AB71" s="145">
        <f t="shared" si="45"/>
        <v>2733.4</v>
      </c>
      <c r="AC71" s="145">
        <f t="shared" si="45"/>
        <v>2991.74</v>
      </c>
      <c r="AD71" s="145">
        <f t="shared" si="45"/>
        <v>3100.08</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6">+E$16</f>
        <v>12</v>
      </c>
      <c r="F74" s="79">
        <f t="shared" ref="F74:Q76" si="47">ROUND(+$R74/$E74,2)</f>
        <v>433.33</v>
      </c>
      <c r="G74" s="79">
        <f t="shared" si="47"/>
        <v>433.33</v>
      </c>
      <c r="H74" s="79">
        <f t="shared" si="47"/>
        <v>433.33</v>
      </c>
      <c r="I74" s="79">
        <f t="shared" si="47"/>
        <v>433.33</v>
      </c>
      <c r="J74" s="79">
        <f t="shared" si="47"/>
        <v>433.33</v>
      </c>
      <c r="K74" s="79">
        <f t="shared" si="47"/>
        <v>433.33</v>
      </c>
      <c r="L74" s="79">
        <f t="shared" si="47"/>
        <v>433.33</v>
      </c>
      <c r="M74" s="79">
        <f t="shared" si="47"/>
        <v>433.33</v>
      </c>
      <c r="N74" s="79">
        <f t="shared" si="47"/>
        <v>433.33</v>
      </c>
      <c r="O74" s="79">
        <f t="shared" si="47"/>
        <v>433.33</v>
      </c>
      <c r="P74" s="79">
        <f t="shared" si="47"/>
        <v>433.33</v>
      </c>
      <c r="Q74" s="79">
        <f t="shared" si="47"/>
        <v>433.33</v>
      </c>
      <c r="R74" s="79">
        <f>+'New Year-Full Year'!G74</f>
        <v>5200</v>
      </c>
      <c r="S74" s="139">
        <f t="shared" ref="S74:S80" si="48">SUM(F74)</f>
        <v>433.33</v>
      </c>
      <c r="T74" s="139">
        <f>SUM($F74:G74)</f>
        <v>866.66</v>
      </c>
      <c r="U74" s="139">
        <f>SUM($F74:H74)</f>
        <v>1299.99</v>
      </c>
      <c r="V74" s="139">
        <f>SUM($F74:I74)</f>
        <v>1733.32</v>
      </c>
      <c r="W74" s="139">
        <f>SUM($F74:J74)</f>
        <v>2166.65</v>
      </c>
      <c r="X74" s="139">
        <f>SUM($F74:K74)</f>
        <v>2599.98</v>
      </c>
      <c r="Y74" s="139">
        <f>SUM($F74:L74)</f>
        <v>3033.31</v>
      </c>
      <c r="Z74" s="139">
        <f>SUM($F74:M74)</f>
        <v>3466.64</v>
      </c>
      <c r="AA74" s="139">
        <f>SUM($F74:N74)</f>
        <v>3899.97</v>
      </c>
      <c r="AB74" s="139">
        <f>SUM($F74:O74)</f>
        <v>4333.3</v>
      </c>
      <c r="AC74" s="139">
        <f>SUM($F74:P74)</f>
        <v>4766.63</v>
      </c>
      <c r="AD74" s="139">
        <f>SUM($F74:Q74)</f>
        <v>5199.96</v>
      </c>
    </row>
    <row r="75" spans="1:30" x14ac:dyDescent="0.25">
      <c r="A75" s="106">
        <v>70</v>
      </c>
      <c r="C75" s="1" t="s">
        <v>46</v>
      </c>
      <c r="E75" s="101">
        <f t="shared" si="46"/>
        <v>12</v>
      </c>
      <c r="F75" s="79">
        <f t="shared" si="47"/>
        <v>375</v>
      </c>
      <c r="G75" s="79">
        <f t="shared" si="47"/>
        <v>375</v>
      </c>
      <c r="H75" s="79">
        <f t="shared" si="47"/>
        <v>375</v>
      </c>
      <c r="I75" s="79">
        <f t="shared" si="47"/>
        <v>375</v>
      </c>
      <c r="J75" s="79">
        <f t="shared" si="47"/>
        <v>375</v>
      </c>
      <c r="K75" s="79">
        <f t="shared" si="47"/>
        <v>375</v>
      </c>
      <c r="L75" s="79">
        <f t="shared" si="47"/>
        <v>375</v>
      </c>
      <c r="M75" s="79">
        <f t="shared" si="47"/>
        <v>375</v>
      </c>
      <c r="N75" s="79">
        <f t="shared" si="47"/>
        <v>375</v>
      </c>
      <c r="O75" s="79">
        <f t="shared" si="47"/>
        <v>375</v>
      </c>
      <c r="P75" s="79">
        <f t="shared" si="47"/>
        <v>375</v>
      </c>
      <c r="Q75" s="79">
        <f t="shared" si="47"/>
        <v>375</v>
      </c>
      <c r="R75" s="79">
        <f>+'New Year-Full Year'!G75</f>
        <v>4500</v>
      </c>
      <c r="S75" s="139">
        <f t="shared" si="48"/>
        <v>375</v>
      </c>
      <c r="T75" s="139">
        <f>SUM($F75:G75)</f>
        <v>750</v>
      </c>
      <c r="U75" s="139">
        <f>SUM($F75:H75)</f>
        <v>1125</v>
      </c>
      <c r="V75" s="139">
        <f>SUM($F75:I75)</f>
        <v>1500</v>
      </c>
      <c r="W75" s="139">
        <f>SUM($F75:J75)</f>
        <v>1875</v>
      </c>
      <c r="X75" s="139">
        <f>SUM($F75:K75)</f>
        <v>2250</v>
      </c>
      <c r="Y75" s="139">
        <f>SUM($F75:L75)</f>
        <v>2625</v>
      </c>
      <c r="Z75" s="139">
        <f>SUM($F75:M75)</f>
        <v>3000</v>
      </c>
      <c r="AA75" s="139">
        <f>SUM($F75:N75)</f>
        <v>3375</v>
      </c>
      <c r="AB75" s="139">
        <f>SUM($F75:O75)</f>
        <v>3750</v>
      </c>
      <c r="AC75" s="139">
        <f>SUM($F75:P75)</f>
        <v>4125</v>
      </c>
      <c r="AD75" s="139">
        <f>SUM($F75:Q75)</f>
        <v>4500</v>
      </c>
    </row>
    <row r="76" spans="1:30" x14ac:dyDescent="0.25">
      <c r="A76" s="106">
        <v>71</v>
      </c>
      <c r="C76" s="1" t="s">
        <v>145</v>
      </c>
      <c r="E76" s="101">
        <f t="shared" si="46"/>
        <v>12</v>
      </c>
      <c r="F76" s="79">
        <f t="shared" si="47"/>
        <v>41.67</v>
      </c>
      <c r="G76" s="79">
        <f t="shared" si="47"/>
        <v>41.67</v>
      </c>
      <c r="H76" s="79">
        <f t="shared" si="47"/>
        <v>41.67</v>
      </c>
      <c r="I76" s="79">
        <f t="shared" si="47"/>
        <v>41.67</v>
      </c>
      <c r="J76" s="79">
        <f t="shared" si="47"/>
        <v>41.67</v>
      </c>
      <c r="K76" s="79">
        <f t="shared" si="47"/>
        <v>41.67</v>
      </c>
      <c r="L76" s="79">
        <f t="shared" si="47"/>
        <v>41.67</v>
      </c>
      <c r="M76" s="79">
        <f t="shared" si="47"/>
        <v>41.67</v>
      </c>
      <c r="N76" s="79">
        <f t="shared" si="47"/>
        <v>41.67</v>
      </c>
      <c r="O76" s="79">
        <f t="shared" si="47"/>
        <v>41.67</v>
      </c>
      <c r="P76" s="79">
        <f t="shared" si="47"/>
        <v>41.67</v>
      </c>
      <c r="Q76" s="79">
        <f t="shared" si="47"/>
        <v>41.67</v>
      </c>
      <c r="R76" s="79">
        <f>+'New Year-Full Year'!G76</f>
        <v>500</v>
      </c>
      <c r="S76" s="139">
        <f t="shared" si="48"/>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9">
        <f>+$R77/2</f>
        <v>0</v>
      </c>
      <c r="H77" s="79">
        <f>+$R77/2</f>
        <v>0</v>
      </c>
      <c r="I77" s="71">
        <v>0</v>
      </c>
      <c r="J77" s="71">
        <v>0</v>
      </c>
      <c r="K77" s="71">
        <v>0</v>
      </c>
      <c r="L77" s="71">
        <v>0</v>
      </c>
      <c r="M77" s="71">
        <v>0</v>
      </c>
      <c r="N77" s="71">
        <v>0</v>
      </c>
      <c r="O77" s="71">
        <v>0</v>
      </c>
      <c r="P77" s="71">
        <v>0</v>
      </c>
      <c r="Q77" s="71">
        <v>0</v>
      </c>
      <c r="R77" s="79">
        <f>+'New Year-Full Year'!G77</f>
        <v>0</v>
      </c>
      <c r="S77" s="139">
        <f t="shared" si="48"/>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49">+E$16</f>
        <v>12</v>
      </c>
      <c r="F78" s="79">
        <f t="shared" ref="F78:Q80" si="50">ROUND(+$R78/$E78,2)</f>
        <v>1583.33</v>
      </c>
      <c r="G78" s="79">
        <f t="shared" si="50"/>
        <v>1583.33</v>
      </c>
      <c r="H78" s="79">
        <f t="shared" si="50"/>
        <v>1583.33</v>
      </c>
      <c r="I78" s="79">
        <f t="shared" si="50"/>
        <v>1583.33</v>
      </c>
      <c r="J78" s="79">
        <f t="shared" si="50"/>
        <v>1583.33</v>
      </c>
      <c r="K78" s="79">
        <f t="shared" si="50"/>
        <v>1583.33</v>
      </c>
      <c r="L78" s="79">
        <f t="shared" si="50"/>
        <v>1583.33</v>
      </c>
      <c r="M78" s="79">
        <f t="shared" si="50"/>
        <v>1583.33</v>
      </c>
      <c r="N78" s="79">
        <f t="shared" si="50"/>
        <v>1583.33</v>
      </c>
      <c r="O78" s="79">
        <f t="shared" si="50"/>
        <v>1583.33</v>
      </c>
      <c r="P78" s="79">
        <f t="shared" si="50"/>
        <v>1583.33</v>
      </c>
      <c r="Q78" s="79">
        <f t="shared" si="50"/>
        <v>1583.33</v>
      </c>
      <c r="R78" s="79">
        <f>+'New Year-Full Year'!G78</f>
        <v>19000</v>
      </c>
      <c r="S78" s="139">
        <f t="shared" si="48"/>
        <v>1583.33</v>
      </c>
      <c r="T78" s="139">
        <f>SUM($F78:G78)</f>
        <v>3166.66</v>
      </c>
      <c r="U78" s="139">
        <f>SUM($F78:H78)</f>
        <v>4749.99</v>
      </c>
      <c r="V78" s="139">
        <f>SUM($F78:I78)</f>
        <v>6333.32</v>
      </c>
      <c r="W78" s="139">
        <f>SUM($F78:J78)</f>
        <v>7916.65</v>
      </c>
      <c r="X78" s="139">
        <f>SUM($F78:K78)</f>
        <v>9499.98</v>
      </c>
      <c r="Y78" s="139">
        <f>SUM($F78:L78)</f>
        <v>11083.31</v>
      </c>
      <c r="Z78" s="139">
        <f>SUM($F78:M78)</f>
        <v>12666.64</v>
      </c>
      <c r="AA78" s="139">
        <f>SUM($F78:N78)</f>
        <v>14249.97</v>
      </c>
      <c r="AB78" s="139">
        <f>SUM($F78:O78)</f>
        <v>15833.3</v>
      </c>
      <c r="AC78" s="139">
        <f>SUM($F78:P78)</f>
        <v>17416.629999999997</v>
      </c>
      <c r="AD78" s="139">
        <f>SUM($F78:Q78)</f>
        <v>18999.96</v>
      </c>
    </row>
    <row r="79" spans="1:30" x14ac:dyDescent="0.25">
      <c r="A79" s="106">
        <v>74</v>
      </c>
      <c r="C79" s="1" t="s">
        <v>49</v>
      </c>
      <c r="E79" s="101">
        <f t="shared" si="49"/>
        <v>12</v>
      </c>
      <c r="F79" s="79">
        <f t="shared" si="50"/>
        <v>68.75</v>
      </c>
      <c r="G79" s="79">
        <f t="shared" si="50"/>
        <v>68.75</v>
      </c>
      <c r="H79" s="79">
        <f t="shared" si="50"/>
        <v>68.75</v>
      </c>
      <c r="I79" s="79">
        <f t="shared" si="50"/>
        <v>68.75</v>
      </c>
      <c r="J79" s="79">
        <f t="shared" si="50"/>
        <v>68.75</v>
      </c>
      <c r="K79" s="79">
        <f t="shared" si="50"/>
        <v>68.75</v>
      </c>
      <c r="L79" s="79">
        <f t="shared" si="50"/>
        <v>68.75</v>
      </c>
      <c r="M79" s="79">
        <f t="shared" si="50"/>
        <v>68.75</v>
      </c>
      <c r="N79" s="79">
        <f t="shared" si="50"/>
        <v>68.75</v>
      </c>
      <c r="O79" s="79">
        <f t="shared" si="50"/>
        <v>68.75</v>
      </c>
      <c r="P79" s="79">
        <f t="shared" si="50"/>
        <v>68.75</v>
      </c>
      <c r="Q79" s="79">
        <f t="shared" si="50"/>
        <v>68.75</v>
      </c>
      <c r="R79" s="79">
        <f>+'New Year-Full Year'!G79</f>
        <v>825</v>
      </c>
      <c r="S79" s="139">
        <f t="shared" si="48"/>
        <v>68.75</v>
      </c>
      <c r="T79" s="139">
        <f>SUM($F79:G79)</f>
        <v>137.5</v>
      </c>
      <c r="U79" s="139">
        <f>SUM($F79:H79)</f>
        <v>206.25</v>
      </c>
      <c r="V79" s="139">
        <f>SUM($F79:I79)</f>
        <v>275</v>
      </c>
      <c r="W79" s="139">
        <f>SUM($F79:J79)</f>
        <v>343.75</v>
      </c>
      <c r="X79" s="139">
        <f>SUM($F79:K79)</f>
        <v>412.5</v>
      </c>
      <c r="Y79" s="139">
        <f>SUM($F79:L79)</f>
        <v>481.25</v>
      </c>
      <c r="Z79" s="139">
        <f>SUM($F79:M79)</f>
        <v>550</v>
      </c>
      <c r="AA79" s="139">
        <f>SUM($F79:N79)</f>
        <v>618.75</v>
      </c>
      <c r="AB79" s="139">
        <f>SUM($F79:O79)</f>
        <v>687.5</v>
      </c>
      <c r="AC79" s="139">
        <f>SUM($F79:P79)</f>
        <v>756.25</v>
      </c>
      <c r="AD79" s="139">
        <f>SUM($F79:Q79)</f>
        <v>825</v>
      </c>
    </row>
    <row r="80" spans="1:30" x14ac:dyDescent="0.25">
      <c r="A80" s="106">
        <v>75</v>
      </c>
      <c r="C80" s="1" t="s">
        <v>50</v>
      </c>
      <c r="E80" s="101">
        <f t="shared" si="49"/>
        <v>12</v>
      </c>
      <c r="F80" s="79">
        <f t="shared" si="50"/>
        <v>133.33000000000001</v>
      </c>
      <c r="G80" s="79">
        <f t="shared" si="50"/>
        <v>133.33000000000001</v>
      </c>
      <c r="H80" s="79">
        <f t="shared" si="50"/>
        <v>133.33000000000001</v>
      </c>
      <c r="I80" s="79">
        <f t="shared" si="50"/>
        <v>133.33000000000001</v>
      </c>
      <c r="J80" s="79">
        <f t="shared" si="50"/>
        <v>133.33000000000001</v>
      </c>
      <c r="K80" s="79">
        <f t="shared" si="50"/>
        <v>133.33000000000001</v>
      </c>
      <c r="L80" s="79">
        <f t="shared" si="50"/>
        <v>133.33000000000001</v>
      </c>
      <c r="M80" s="79">
        <f t="shared" si="50"/>
        <v>133.33000000000001</v>
      </c>
      <c r="N80" s="79">
        <f t="shared" si="50"/>
        <v>133.33000000000001</v>
      </c>
      <c r="O80" s="79">
        <f t="shared" si="50"/>
        <v>133.33000000000001</v>
      </c>
      <c r="P80" s="79">
        <f t="shared" si="50"/>
        <v>133.33000000000001</v>
      </c>
      <c r="Q80" s="79">
        <f t="shared" si="50"/>
        <v>133.33000000000001</v>
      </c>
      <c r="R80" s="79">
        <f>+'New Year-Full Year'!G80</f>
        <v>1600</v>
      </c>
      <c r="S80" s="139">
        <f t="shared" si="48"/>
        <v>133.33000000000001</v>
      </c>
      <c r="T80" s="139">
        <f>SUM($F80:G80)</f>
        <v>266.66000000000003</v>
      </c>
      <c r="U80" s="139">
        <f>SUM($F80:H80)</f>
        <v>399.99</v>
      </c>
      <c r="V80" s="139">
        <f>SUM($F80:I80)</f>
        <v>533.32000000000005</v>
      </c>
      <c r="W80" s="139">
        <f>SUM($F80:J80)</f>
        <v>666.65000000000009</v>
      </c>
      <c r="X80" s="139">
        <f>SUM($F80:K80)</f>
        <v>799.98000000000013</v>
      </c>
      <c r="Y80" s="139">
        <f>SUM($F80:L80)</f>
        <v>933.31000000000017</v>
      </c>
      <c r="Z80" s="139">
        <f>SUM($F80:M80)</f>
        <v>1066.6400000000001</v>
      </c>
      <c r="AA80" s="139">
        <f>SUM($F80:N80)</f>
        <v>1199.97</v>
      </c>
      <c r="AB80" s="139">
        <f>SUM($F80:O80)</f>
        <v>1333.3</v>
      </c>
      <c r="AC80" s="139">
        <f>SUM($F80:P80)</f>
        <v>1466.6299999999999</v>
      </c>
      <c r="AD80" s="139">
        <f>SUM($F80:Q80)</f>
        <v>1599.9599999999998</v>
      </c>
    </row>
    <row r="81" spans="1:30" s="5" customFormat="1" x14ac:dyDescent="0.25">
      <c r="A81" s="106">
        <v>76</v>
      </c>
      <c r="B81" s="51" t="s">
        <v>53</v>
      </c>
      <c r="C81" s="51"/>
      <c r="D81" s="51"/>
      <c r="E81" s="93"/>
      <c r="F81" s="75">
        <f t="shared" ref="F81:Q81" si="51">SUM(F74:F80)</f>
        <v>2635.41</v>
      </c>
      <c r="G81" s="75">
        <f t="shared" si="51"/>
        <v>2635.41</v>
      </c>
      <c r="H81" s="75">
        <f t="shared" si="51"/>
        <v>2635.41</v>
      </c>
      <c r="I81" s="75">
        <f t="shared" si="51"/>
        <v>2635.41</v>
      </c>
      <c r="J81" s="75">
        <f t="shared" si="51"/>
        <v>2635.41</v>
      </c>
      <c r="K81" s="75">
        <f t="shared" si="51"/>
        <v>2635.41</v>
      </c>
      <c r="L81" s="75">
        <f t="shared" si="51"/>
        <v>2635.41</v>
      </c>
      <c r="M81" s="75">
        <f t="shared" si="51"/>
        <v>2635.41</v>
      </c>
      <c r="N81" s="75">
        <f t="shared" si="51"/>
        <v>2635.41</v>
      </c>
      <c r="O81" s="75">
        <f t="shared" si="51"/>
        <v>2635.41</v>
      </c>
      <c r="P81" s="75">
        <f t="shared" si="51"/>
        <v>2635.41</v>
      </c>
      <c r="Q81" s="75">
        <f t="shared" si="51"/>
        <v>2635.41</v>
      </c>
      <c r="R81" s="75">
        <f>SUM(R74:R80)</f>
        <v>31625</v>
      </c>
      <c r="S81" s="145">
        <f t="shared" ref="S81:AD81" si="52">SUM(S74:S80)</f>
        <v>2635.41</v>
      </c>
      <c r="T81" s="145">
        <f t="shared" si="52"/>
        <v>5270.82</v>
      </c>
      <c r="U81" s="145">
        <f t="shared" si="52"/>
        <v>7906.23</v>
      </c>
      <c r="V81" s="145">
        <f t="shared" si="52"/>
        <v>10541.64</v>
      </c>
      <c r="W81" s="145">
        <f t="shared" si="52"/>
        <v>13177.05</v>
      </c>
      <c r="X81" s="145">
        <f t="shared" si="52"/>
        <v>15812.46</v>
      </c>
      <c r="Y81" s="145">
        <f t="shared" si="52"/>
        <v>18447.87</v>
      </c>
      <c r="Z81" s="145">
        <f t="shared" si="52"/>
        <v>21083.279999999999</v>
      </c>
      <c r="AA81" s="145">
        <f t="shared" si="52"/>
        <v>23718.69</v>
      </c>
      <c r="AB81" s="145">
        <f t="shared" si="52"/>
        <v>26354.1</v>
      </c>
      <c r="AC81" s="145">
        <f t="shared" si="52"/>
        <v>28989.51</v>
      </c>
      <c r="AD81" s="145">
        <f t="shared" si="52"/>
        <v>31624.92</v>
      </c>
    </row>
    <row r="82" spans="1:30" x14ac:dyDescent="0.25">
      <c r="A82" s="106">
        <v>77</v>
      </c>
      <c r="B82" s="51" t="s">
        <v>126</v>
      </c>
      <c r="C82" s="32"/>
      <c r="D82" s="32"/>
      <c r="E82" s="95"/>
      <c r="F82" s="75">
        <f t="shared" ref="F82:Q82" si="53">+F41+F43+F50+F56+F63+F71+F81+F61</f>
        <v>4618.7599999999993</v>
      </c>
      <c r="G82" s="75">
        <f t="shared" si="53"/>
        <v>4618.7599999999993</v>
      </c>
      <c r="H82" s="75">
        <f t="shared" si="53"/>
        <v>4668.76</v>
      </c>
      <c r="I82" s="75">
        <f t="shared" si="53"/>
        <v>4668.76</v>
      </c>
      <c r="J82" s="75">
        <f t="shared" si="53"/>
        <v>5368.76</v>
      </c>
      <c r="K82" s="75">
        <f t="shared" si="53"/>
        <v>4618.7599999999993</v>
      </c>
      <c r="L82" s="75">
        <f t="shared" si="53"/>
        <v>4618.7599999999993</v>
      </c>
      <c r="M82" s="75">
        <f t="shared" si="53"/>
        <v>5818.76</v>
      </c>
      <c r="N82" s="75">
        <f t="shared" si="53"/>
        <v>4618.7599999999993</v>
      </c>
      <c r="O82" s="75">
        <f t="shared" si="53"/>
        <v>5568.7599999999993</v>
      </c>
      <c r="P82" s="75">
        <f t="shared" si="53"/>
        <v>4768.76</v>
      </c>
      <c r="Q82" s="75">
        <f t="shared" si="53"/>
        <v>4618.7599999999993</v>
      </c>
      <c r="R82" s="75">
        <f>+R41+R43+R50+R56+R63+R71+R81+R61</f>
        <v>58575</v>
      </c>
      <c r="S82" s="145">
        <f t="shared" ref="S82:AD82" si="54">+S41+S43+S50+S56+S63+S71+S81+S61</f>
        <v>4618.7599999999993</v>
      </c>
      <c r="T82" s="145">
        <f t="shared" si="54"/>
        <v>9237.5199999999986</v>
      </c>
      <c r="U82" s="145">
        <f t="shared" si="54"/>
        <v>13906.28</v>
      </c>
      <c r="V82" s="145">
        <f t="shared" si="54"/>
        <v>18575.04</v>
      </c>
      <c r="W82" s="145">
        <f t="shared" si="54"/>
        <v>23943.800000000003</v>
      </c>
      <c r="X82" s="145">
        <f t="shared" si="54"/>
        <v>28562.560000000001</v>
      </c>
      <c r="Y82" s="145">
        <f t="shared" si="54"/>
        <v>33181.32</v>
      </c>
      <c r="Z82" s="145">
        <f t="shared" si="54"/>
        <v>39000.080000000002</v>
      </c>
      <c r="AA82" s="145">
        <f t="shared" si="54"/>
        <v>43618.84</v>
      </c>
      <c r="AB82" s="145">
        <f t="shared" si="54"/>
        <v>49187.600000000006</v>
      </c>
      <c r="AC82" s="145">
        <f t="shared" si="54"/>
        <v>53956.36</v>
      </c>
      <c r="AD82" s="145">
        <f t="shared" si="54"/>
        <v>58575.12</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5">+E$16</f>
        <v>12</v>
      </c>
      <c r="F86" s="79">
        <f t="shared" ref="F86:Q90" si="56">ROUND(+$R86/$E86,2)</f>
        <v>6923.25</v>
      </c>
      <c r="G86" s="79">
        <f t="shared" si="56"/>
        <v>6923.25</v>
      </c>
      <c r="H86" s="79">
        <f t="shared" si="56"/>
        <v>6923.25</v>
      </c>
      <c r="I86" s="79">
        <f t="shared" si="56"/>
        <v>6923.25</v>
      </c>
      <c r="J86" s="79">
        <f t="shared" si="56"/>
        <v>6923.25</v>
      </c>
      <c r="K86" s="79">
        <f t="shared" si="56"/>
        <v>6923.25</v>
      </c>
      <c r="L86" s="79">
        <f t="shared" si="56"/>
        <v>6923.25</v>
      </c>
      <c r="M86" s="79">
        <f t="shared" si="56"/>
        <v>6923.25</v>
      </c>
      <c r="N86" s="79">
        <f t="shared" si="56"/>
        <v>6923.25</v>
      </c>
      <c r="O86" s="79">
        <f t="shared" si="56"/>
        <v>6923.25</v>
      </c>
      <c r="P86" s="79">
        <f t="shared" si="56"/>
        <v>6923.25</v>
      </c>
      <c r="Q86" s="79">
        <f t="shared" si="56"/>
        <v>6923.25</v>
      </c>
      <c r="R86" s="79">
        <f>+'New Year-Full Year'!G86</f>
        <v>83079</v>
      </c>
      <c r="S86" s="139">
        <f t="shared" ref="S86:S90" si="57">SUM(F86)</f>
        <v>6923.25</v>
      </c>
      <c r="T86" s="139">
        <f>SUM($F86:G86)</f>
        <v>13846.5</v>
      </c>
      <c r="U86" s="139">
        <f>SUM($F86:H86)</f>
        <v>20769.75</v>
      </c>
      <c r="V86" s="139">
        <f>SUM($F86:I86)</f>
        <v>27693</v>
      </c>
      <c r="W86" s="139">
        <f>SUM($F86:J86)</f>
        <v>34616.25</v>
      </c>
      <c r="X86" s="139">
        <f>SUM($F86:K86)</f>
        <v>41539.5</v>
      </c>
      <c r="Y86" s="139">
        <f>SUM($F86:L86)</f>
        <v>48462.75</v>
      </c>
      <c r="Z86" s="139">
        <f>SUM($F86:M86)</f>
        <v>55386</v>
      </c>
      <c r="AA86" s="139">
        <f>SUM($F86:N86)</f>
        <v>62309.25</v>
      </c>
      <c r="AB86" s="139">
        <f>SUM($F86:O86)</f>
        <v>69232.5</v>
      </c>
      <c r="AC86" s="139">
        <f>SUM($F86:P86)</f>
        <v>76155.75</v>
      </c>
      <c r="AD86" s="139">
        <f>SUM($F86:Q86)</f>
        <v>83079</v>
      </c>
    </row>
    <row r="87" spans="1:30" x14ac:dyDescent="0.25">
      <c r="A87" s="106">
        <v>82</v>
      </c>
      <c r="C87" s="1" t="s">
        <v>55</v>
      </c>
      <c r="E87" s="101">
        <f t="shared" si="55"/>
        <v>12</v>
      </c>
      <c r="F87" s="79">
        <f t="shared" si="56"/>
        <v>229.17</v>
      </c>
      <c r="G87" s="79">
        <f t="shared" si="56"/>
        <v>229.17</v>
      </c>
      <c r="H87" s="79">
        <f t="shared" si="56"/>
        <v>229.17</v>
      </c>
      <c r="I87" s="79">
        <f t="shared" si="56"/>
        <v>229.17</v>
      </c>
      <c r="J87" s="79">
        <f t="shared" si="56"/>
        <v>229.17</v>
      </c>
      <c r="K87" s="79">
        <f t="shared" si="56"/>
        <v>229.17</v>
      </c>
      <c r="L87" s="79">
        <f t="shared" si="56"/>
        <v>229.17</v>
      </c>
      <c r="M87" s="79">
        <f t="shared" si="56"/>
        <v>229.17</v>
      </c>
      <c r="N87" s="79">
        <f t="shared" si="56"/>
        <v>229.17</v>
      </c>
      <c r="O87" s="79">
        <f t="shared" si="56"/>
        <v>229.17</v>
      </c>
      <c r="P87" s="79">
        <f t="shared" si="56"/>
        <v>229.17</v>
      </c>
      <c r="Q87" s="79">
        <f t="shared" si="56"/>
        <v>229.17</v>
      </c>
      <c r="R87" s="79">
        <f>+'New Year-Full Year'!G87</f>
        <v>2750</v>
      </c>
      <c r="S87" s="139">
        <f t="shared" si="57"/>
        <v>229.17</v>
      </c>
      <c r="T87" s="139">
        <f>SUM($F87:G87)</f>
        <v>458.34</v>
      </c>
      <c r="U87" s="139">
        <f>SUM($F87:H87)</f>
        <v>687.51</v>
      </c>
      <c r="V87" s="139">
        <f>SUM($F87:I87)</f>
        <v>916.68</v>
      </c>
      <c r="W87" s="139">
        <f>SUM($F87:J87)</f>
        <v>1145.8499999999999</v>
      </c>
      <c r="X87" s="139">
        <f>SUM($F87:K87)</f>
        <v>1375.02</v>
      </c>
      <c r="Y87" s="139">
        <f>SUM($F87:L87)</f>
        <v>1604.19</v>
      </c>
      <c r="Z87" s="139">
        <f>SUM($F87:M87)</f>
        <v>1833.3600000000001</v>
      </c>
      <c r="AA87" s="139">
        <f>SUM($F87:N87)</f>
        <v>2062.5300000000002</v>
      </c>
      <c r="AB87" s="139">
        <f>SUM($F87:O87)</f>
        <v>2291.7000000000003</v>
      </c>
      <c r="AC87" s="139">
        <f>SUM($F87:P87)</f>
        <v>2520.8700000000003</v>
      </c>
      <c r="AD87" s="139">
        <f>SUM($F87:Q87)</f>
        <v>2750.0400000000004</v>
      </c>
    </row>
    <row r="88" spans="1:30" x14ac:dyDescent="0.25">
      <c r="A88" s="106">
        <v>83</v>
      </c>
      <c r="C88" s="1" t="s">
        <v>56</v>
      </c>
      <c r="E88" s="101">
        <f t="shared" si="55"/>
        <v>12</v>
      </c>
      <c r="F88" s="79">
        <f t="shared" si="56"/>
        <v>2900.08</v>
      </c>
      <c r="G88" s="79">
        <f t="shared" si="56"/>
        <v>2900.08</v>
      </c>
      <c r="H88" s="79">
        <f t="shared" si="56"/>
        <v>2900.08</v>
      </c>
      <c r="I88" s="79">
        <f t="shared" si="56"/>
        <v>2900.08</v>
      </c>
      <c r="J88" s="79">
        <f t="shared" si="56"/>
        <v>2900.08</v>
      </c>
      <c r="K88" s="79">
        <f t="shared" si="56"/>
        <v>2900.08</v>
      </c>
      <c r="L88" s="79">
        <f t="shared" si="56"/>
        <v>2900.08</v>
      </c>
      <c r="M88" s="79">
        <f t="shared" si="56"/>
        <v>2900.08</v>
      </c>
      <c r="N88" s="79">
        <f t="shared" si="56"/>
        <v>2900.08</v>
      </c>
      <c r="O88" s="79">
        <f t="shared" si="56"/>
        <v>2900.08</v>
      </c>
      <c r="P88" s="79">
        <f t="shared" si="56"/>
        <v>2900.08</v>
      </c>
      <c r="Q88" s="79">
        <f t="shared" si="56"/>
        <v>2900.08</v>
      </c>
      <c r="R88" s="79">
        <f>+'New Year-Full Year'!G88</f>
        <v>34801</v>
      </c>
      <c r="S88" s="139">
        <f t="shared" si="57"/>
        <v>2900.08</v>
      </c>
      <c r="T88" s="139">
        <f>SUM($F88:G88)</f>
        <v>5800.16</v>
      </c>
      <c r="U88" s="139">
        <f>SUM($F88:H88)</f>
        <v>8700.24</v>
      </c>
      <c r="V88" s="139">
        <f>SUM($F88:I88)</f>
        <v>11600.32</v>
      </c>
      <c r="W88" s="139">
        <f>SUM($F88:J88)</f>
        <v>14500.4</v>
      </c>
      <c r="X88" s="139">
        <f>SUM($F88:K88)</f>
        <v>17400.48</v>
      </c>
      <c r="Y88" s="139">
        <f>SUM($F88:L88)</f>
        <v>20300.559999999998</v>
      </c>
      <c r="Z88" s="139">
        <f>SUM($F88:M88)</f>
        <v>23200.639999999999</v>
      </c>
      <c r="AA88" s="139">
        <f>SUM($F88:N88)</f>
        <v>26100.720000000001</v>
      </c>
      <c r="AB88" s="139">
        <f>SUM($F88:O88)</f>
        <v>29000.800000000003</v>
      </c>
      <c r="AC88" s="139">
        <f>SUM($F88:P88)</f>
        <v>31900.880000000005</v>
      </c>
      <c r="AD88" s="139">
        <f>SUM($F88:Q88)</f>
        <v>34800.960000000006</v>
      </c>
    </row>
    <row r="89" spans="1:30" x14ac:dyDescent="0.25">
      <c r="A89" s="106">
        <v>84</v>
      </c>
      <c r="C89" s="1" t="s">
        <v>57</v>
      </c>
      <c r="E89" s="101">
        <f t="shared" si="55"/>
        <v>12</v>
      </c>
      <c r="F89" s="79">
        <f t="shared" si="56"/>
        <v>305.5</v>
      </c>
      <c r="G89" s="79">
        <f t="shared" si="56"/>
        <v>305.5</v>
      </c>
      <c r="H89" s="79">
        <f t="shared" si="56"/>
        <v>305.5</v>
      </c>
      <c r="I89" s="79">
        <f t="shared" si="56"/>
        <v>305.5</v>
      </c>
      <c r="J89" s="79">
        <f t="shared" si="56"/>
        <v>305.5</v>
      </c>
      <c r="K89" s="79">
        <f t="shared" si="56"/>
        <v>305.5</v>
      </c>
      <c r="L89" s="79">
        <f t="shared" si="56"/>
        <v>305.5</v>
      </c>
      <c r="M89" s="79">
        <f t="shared" si="56"/>
        <v>305.5</v>
      </c>
      <c r="N89" s="79">
        <f t="shared" si="56"/>
        <v>305.5</v>
      </c>
      <c r="O89" s="79">
        <f t="shared" si="56"/>
        <v>305.5</v>
      </c>
      <c r="P89" s="79">
        <f t="shared" si="56"/>
        <v>305.5</v>
      </c>
      <c r="Q89" s="79">
        <f t="shared" si="56"/>
        <v>305.5</v>
      </c>
      <c r="R89" s="79">
        <f>+'New Year-Full Year'!G89</f>
        <v>3666</v>
      </c>
      <c r="S89" s="139">
        <f t="shared" si="57"/>
        <v>305.5</v>
      </c>
      <c r="T89" s="139">
        <f>SUM($F89:G89)</f>
        <v>611</v>
      </c>
      <c r="U89" s="139">
        <f>SUM($F89:H89)</f>
        <v>916.5</v>
      </c>
      <c r="V89" s="139">
        <f>SUM($F89:I89)</f>
        <v>1222</v>
      </c>
      <c r="W89" s="139">
        <f>SUM($F89:J89)</f>
        <v>1527.5</v>
      </c>
      <c r="X89" s="139">
        <f>SUM($F89:K89)</f>
        <v>1833</v>
      </c>
      <c r="Y89" s="139">
        <f>SUM($F89:L89)</f>
        <v>2138.5</v>
      </c>
      <c r="Z89" s="139">
        <f>SUM($F89:M89)</f>
        <v>2444</v>
      </c>
      <c r="AA89" s="139">
        <f>SUM($F89:N89)</f>
        <v>2749.5</v>
      </c>
      <c r="AB89" s="139">
        <f>SUM($F89:O89)</f>
        <v>3055</v>
      </c>
      <c r="AC89" s="139">
        <f>SUM($F89:P89)</f>
        <v>3360.5</v>
      </c>
      <c r="AD89" s="139">
        <f>SUM($F89:Q89)</f>
        <v>3666</v>
      </c>
    </row>
    <row r="90" spans="1:30" x14ac:dyDescent="0.25">
      <c r="A90" s="106">
        <v>85</v>
      </c>
      <c r="C90" s="1" t="s">
        <v>58</v>
      </c>
      <c r="E90" s="101">
        <f t="shared" si="55"/>
        <v>12</v>
      </c>
      <c r="F90" s="79">
        <f t="shared" si="56"/>
        <v>229.17</v>
      </c>
      <c r="G90" s="79">
        <f t="shared" si="56"/>
        <v>229.17</v>
      </c>
      <c r="H90" s="79">
        <f t="shared" si="56"/>
        <v>229.17</v>
      </c>
      <c r="I90" s="79">
        <f t="shared" si="56"/>
        <v>229.17</v>
      </c>
      <c r="J90" s="79">
        <f t="shared" si="56"/>
        <v>229.17</v>
      </c>
      <c r="K90" s="79">
        <f t="shared" si="56"/>
        <v>229.17</v>
      </c>
      <c r="L90" s="79">
        <f t="shared" si="56"/>
        <v>229.17</v>
      </c>
      <c r="M90" s="79">
        <f t="shared" si="56"/>
        <v>229.17</v>
      </c>
      <c r="N90" s="79">
        <f t="shared" si="56"/>
        <v>229.17</v>
      </c>
      <c r="O90" s="79">
        <f t="shared" si="56"/>
        <v>229.17</v>
      </c>
      <c r="P90" s="79">
        <f t="shared" si="56"/>
        <v>229.17</v>
      </c>
      <c r="Q90" s="79">
        <f t="shared" si="56"/>
        <v>229.17</v>
      </c>
      <c r="R90" s="79">
        <f>+'New Year-Full Year'!G90</f>
        <v>2750</v>
      </c>
      <c r="S90" s="139">
        <f t="shared" si="57"/>
        <v>229.17</v>
      </c>
      <c r="T90" s="139">
        <f>SUM($F90:G90)</f>
        <v>458.34</v>
      </c>
      <c r="U90" s="139">
        <f>SUM($F90:H90)</f>
        <v>687.51</v>
      </c>
      <c r="V90" s="139">
        <f>SUM($F90:I90)</f>
        <v>916.68</v>
      </c>
      <c r="W90" s="139">
        <f>SUM($F90:J90)</f>
        <v>1145.8499999999999</v>
      </c>
      <c r="X90" s="139">
        <f>SUM($F90:K90)</f>
        <v>1375.02</v>
      </c>
      <c r="Y90" s="139">
        <f>SUM($F90:L90)</f>
        <v>1604.19</v>
      </c>
      <c r="Z90" s="139">
        <f>SUM($F90:M90)</f>
        <v>1833.3600000000001</v>
      </c>
      <c r="AA90" s="139">
        <f>SUM($F90:N90)</f>
        <v>2062.5300000000002</v>
      </c>
      <c r="AB90" s="139">
        <f>SUM($F90:O90)</f>
        <v>2291.7000000000003</v>
      </c>
      <c r="AC90" s="139">
        <f>SUM($F90:P90)</f>
        <v>2520.8700000000003</v>
      </c>
      <c r="AD90" s="139">
        <f>SUM($F90:Q90)</f>
        <v>2750.0400000000004</v>
      </c>
    </row>
    <row r="91" spans="1:30" s="5" customFormat="1" x14ac:dyDescent="0.25">
      <c r="A91" s="106">
        <v>86</v>
      </c>
      <c r="B91" s="33" t="s">
        <v>59</v>
      </c>
      <c r="C91" s="33"/>
      <c r="D91" s="33"/>
      <c r="E91" s="96"/>
      <c r="F91" s="80">
        <f t="shared" ref="F91:Q91" si="58">SUM(F86:F90)</f>
        <v>10587.17</v>
      </c>
      <c r="G91" s="80">
        <f t="shared" si="58"/>
        <v>10587.17</v>
      </c>
      <c r="H91" s="80">
        <f t="shared" si="58"/>
        <v>10587.17</v>
      </c>
      <c r="I91" s="80">
        <f t="shared" si="58"/>
        <v>10587.17</v>
      </c>
      <c r="J91" s="80">
        <f t="shared" si="58"/>
        <v>10587.17</v>
      </c>
      <c r="K91" s="80">
        <f t="shared" si="58"/>
        <v>10587.17</v>
      </c>
      <c r="L91" s="80">
        <f t="shared" si="58"/>
        <v>10587.17</v>
      </c>
      <c r="M91" s="80">
        <f t="shared" si="58"/>
        <v>10587.17</v>
      </c>
      <c r="N91" s="80">
        <f t="shared" si="58"/>
        <v>10587.17</v>
      </c>
      <c r="O91" s="80">
        <f t="shared" si="58"/>
        <v>10587.17</v>
      </c>
      <c r="P91" s="80">
        <f t="shared" si="58"/>
        <v>10587.17</v>
      </c>
      <c r="Q91" s="80">
        <f t="shared" si="58"/>
        <v>10587.17</v>
      </c>
      <c r="R91" s="80">
        <f>SUM(R86:R90)</f>
        <v>127046</v>
      </c>
      <c r="S91" s="149">
        <f t="shared" ref="S91:AD91" si="59">SUM(S86:S90)</f>
        <v>10587.17</v>
      </c>
      <c r="T91" s="149">
        <f t="shared" si="59"/>
        <v>21174.34</v>
      </c>
      <c r="U91" s="149">
        <f t="shared" si="59"/>
        <v>31761.51</v>
      </c>
      <c r="V91" s="149">
        <f t="shared" si="59"/>
        <v>42348.68</v>
      </c>
      <c r="W91" s="149">
        <f t="shared" si="59"/>
        <v>52935.85</v>
      </c>
      <c r="X91" s="149">
        <f t="shared" si="59"/>
        <v>63523.02</v>
      </c>
      <c r="Y91" s="149">
        <f t="shared" si="59"/>
        <v>74110.19</v>
      </c>
      <c r="Z91" s="149">
        <f t="shared" si="59"/>
        <v>84697.36</v>
      </c>
      <c r="AA91" s="149">
        <f t="shared" si="59"/>
        <v>95284.53</v>
      </c>
      <c r="AB91" s="149">
        <f t="shared" si="59"/>
        <v>105871.7</v>
      </c>
      <c r="AC91" s="149">
        <f t="shared" si="59"/>
        <v>116458.87</v>
      </c>
      <c r="AD91" s="149">
        <f t="shared" si="59"/>
        <v>127046.04</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0">+E$16</f>
        <v>12</v>
      </c>
      <c r="F94" s="79">
        <f t="shared" ref="F94:Q95" si="61">ROUND(+$R94/$E94,2)</f>
        <v>958.92</v>
      </c>
      <c r="G94" s="79">
        <f t="shared" si="61"/>
        <v>958.92</v>
      </c>
      <c r="H94" s="79">
        <f t="shared" si="61"/>
        <v>958.92</v>
      </c>
      <c r="I94" s="79">
        <f t="shared" si="61"/>
        <v>958.92</v>
      </c>
      <c r="J94" s="79">
        <f t="shared" si="61"/>
        <v>958.92</v>
      </c>
      <c r="K94" s="79">
        <f t="shared" si="61"/>
        <v>958.92</v>
      </c>
      <c r="L94" s="79">
        <f t="shared" si="61"/>
        <v>958.92</v>
      </c>
      <c r="M94" s="79">
        <f t="shared" si="61"/>
        <v>958.92</v>
      </c>
      <c r="N94" s="79">
        <f t="shared" si="61"/>
        <v>958.92</v>
      </c>
      <c r="O94" s="79">
        <f t="shared" si="61"/>
        <v>958.92</v>
      </c>
      <c r="P94" s="79">
        <f t="shared" si="61"/>
        <v>958.92</v>
      </c>
      <c r="Q94" s="79">
        <f t="shared" si="61"/>
        <v>958.92</v>
      </c>
      <c r="R94" s="79">
        <f>+'New Year-Full Year'!G94</f>
        <v>11507.039999999999</v>
      </c>
      <c r="S94" s="139">
        <f t="shared" ref="S94:S95" si="62">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60"/>
        <v>12</v>
      </c>
      <c r="F95" s="79">
        <f t="shared" si="61"/>
        <v>416.67</v>
      </c>
      <c r="G95" s="79">
        <f t="shared" si="61"/>
        <v>416.67</v>
      </c>
      <c r="H95" s="79">
        <f t="shared" si="61"/>
        <v>416.67</v>
      </c>
      <c r="I95" s="79">
        <f t="shared" si="61"/>
        <v>416.67</v>
      </c>
      <c r="J95" s="79">
        <f t="shared" si="61"/>
        <v>416.67</v>
      </c>
      <c r="K95" s="79">
        <f t="shared" si="61"/>
        <v>416.67</v>
      </c>
      <c r="L95" s="79">
        <f t="shared" si="61"/>
        <v>416.67</v>
      </c>
      <c r="M95" s="79">
        <f t="shared" si="61"/>
        <v>416.67</v>
      </c>
      <c r="N95" s="79">
        <f t="shared" si="61"/>
        <v>416.67</v>
      </c>
      <c r="O95" s="79">
        <f t="shared" si="61"/>
        <v>416.67</v>
      </c>
      <c r="P95" s="79">
        <f t="shared" si="61"/>
        <v>416.67</v>
      </c>
      <c r="Q95" s="79">
        <f t="shared" si="61"/>
        <v>416.67</v>
      </c>
      <c r="R95" s="79">
        <f>+'New Year-Full Year'!G95</f>
        <v>5000</v>
      </c>
      <c r="S95" s="139">
        <f t="shared" si="62"/>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3">SUM(F94:F95)</f>
        <v>1375.59</v>
      </c>
      <c r="G96" s="80">
        <f t="shared" si="63"/>
        <v>1375.59</v>
      </c>
      <c r="H96" s="80">
        <f t="shared" si="63"/>
        <v>1375.59</v>
      </c>
      <c r="I96" s="80">
        <f t="shared" si="63"/>
        <v>1375.59</v>
      </c>
      <c r="J96" s="80">
        <f t="shared" si="63"/>
        <v>1375.59</v>
      </c>
      <c r="K96" s="80">
        <f t="shared" si="63"/>
        <v>1375.59</v>
      </c>
      <c r="L96" s="80">
        <f t="shared" si="63"/>
        <v>1375.59</v>
      </c>
      <c r="M96" s="80">
        <f t="shared" si="63"/>
        <v>1375.59</v>
      </c>
      <c r="N96" s="80">
        <f t="shared" si="63"/>
        <v>1375.59</v>
      </c>
      <c r="O96" s="80">
        <f t="shared" si="63"/>
        <v>1375.59</v>
      </c>
      <c r="P96" s="80">
        <f t="shared" si="63"/>
        <v>1375.59</v>
      </c>
      <c r="Q96" s="80">
        <f t="shared" si="63"/>
        <v>1375.59</v>
      </c>
      <c r="R96" s="80">
        <f>SUM(R94:R95)</f>
        <v>16507.04</v>
      </c>
      <c r="S96" s="149">
        <f t="shared" ref="S96:AD96" si="64">SUM(S94:S95)</f>
        <v>1375.59</v>
      </c>
      <c r="T96" s="149">
        <f t="shared" si="64"/>
        <v>2751.18</v>
      </c>
      <c r="U96" s="149">
        <f t="shared" si="64"/>
        <v>4126.7699999999995</v>
      </c>
      <c r="V96" s="149">
        <f t="shared" si="64"/>
        <v>5502.36</v>
      </c>
      <c r="W96" s="149">
        <f t="shared" si="64"/>
        <v>6877.9499999999989</v>
      </c>
      <c r="X96" s="149">
        <f t="shared" si="64"/>
        <v>8253.5399999999991</v>
      </c>
      <c r="Y96" s="149">
        <f t="shared" si="64"/>
        <v>9629.1299999999992</v>
      </c>
      <c r="Z96" s="149">
        <f t="shared" si="64"/>
        <v>11004.72</v>
      </c>
      <c r="AA96" s="149">
        <f t="shared" si="64"/>
        <v>12380.31</v>
      </c>
      <c r="AB96" s="149">
        <f t="shared" si="64"/>
        <v>13755.899999999998</v>
      </c>
      <c r="AC96" s="149">
        <f t="shared" si="64"/>
        <v>15131.489999999998</v>
      </c>
      <c r="AD96" s="149">
        <f t="shared" si="64"/>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5">+E$16</f>
        <v>12</v>
      </c>
      <c r="F99" s="79">
        <f t="shared" ref="F99:Q100" si="66">ROUND(+$R99/$E99,2)</f>
        <v>1160.58</v>
      </c>
      <c r="G99" s="79">
        <f t="shared" si="66"/>
        <v>1160.58</v>
      </c>
      <c r="H99" s="79">
        <f t="shared" si="66"/>
        <v>1160.58</v>
      </c>
      <c r="I99" s="79">
        <f t="shared" si="66"/>
        <v>1160.58</v>
      </c>
      <c r="J99" s="79">
        <f t="shared" si="66"/>
        <v>1160.58</v>
      </c>
      <c r="K99" s="79">
        <f t="shared" si="66"/>
        <v>1160.58</v>
      </c>
      <c r="L99" s="79">
        <f t="shared" si="66"/>
        <v>1160.58</v>
      </c>
      <c r="M99" s="79">
        <f t="shared" si="66"/>
        <v>1160.58</v>
      </c>
      <c r="N99" s="79">
        <f t="shared" si="66"/>
        <v>1160.58</v>
      </c>
      <c r="O99" s="79">
        <f t="shared" si="66"/>
        <v>1160.58</v>
      </c>
      <c r="P99" s="79">
        <f t="shared" si="66"/>
        <v>1160.58</v>
      </c>
      <c r="Q99" s="79">
        <f t="shared" si="66"/>
        <v>1160.58</v>
      </c>
      <c r="R99" s="79">
        <f>+'New Year-Full Year'!G99</f>
        <v>13926.96</v>
      </c>
      <c r="S99" s="139">
        <f t="shared" ref="S99:S100" si="67">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66"/>
        <v>93.75</v>
      </c>
      <c r="G100" s="79">
        <f t="shared" si="66"/>
        <v>93.75</v>
      </c>
      <c r="H100" s="79">
        <f t="shared" si="66"/>
        <v>93.75</v>
      </c>
      <c r="I100" s="79">
        <f t="shared" si="66"/>
        <v>93.75</v>
      </c>
      <c r="J100" s="71">
        <v>0</v>
      </c>
      <c r="K100" s="71">
        <v>0</v>
      </c>
      <c r="L100" s="71">
        <v>0</v>
      </c>
      <c r="M100" s="71">
        <v>0</v>
      </c>
      <c r="N100" s="79">
        <f>ROUND(+$R100/$E100,2)</f>
        <v>93.75</v>
      </c>
      <c r="O100" s="79">
        <f t="shared" si="66"/>
        <v>93.75</v>
      </c>
      <c r="P100" s="79">
        <f t="shared" si="66"/>
        <v>93.75</v>
      </c>
      <c r="Q100" s="79">
        <f>ROUND(+$R100/$E100,2)</f>
        <v>93.75</v>
      </c>
      <c r="R100" s="79">
        <f>+'New Year-Full Year'!G100</f>
        <v>750</v>
      </c>
      <c r="S100" s="139">
        <f t="shared" si="67"/>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468.75</v>
      </c>
      <c r="AB100" s="139">
        <f>SUM($F100:O100)</f>
        <v>562.5</v>
      </c>
      <c r="AC100" s="139">
        <f>SUM($F100:P100)</f>
        <v>656.25</v>
      </c>
      <c r="AD100" s="139">
        <f>SUM($F100:Q100)</f>
        <v>750</v>
      </c>
    </row>
    <row r="101" spans="1:30" s="5" customFormat="1" x14ac:dyDescent="0.25">
      <c r="A101" s="106">
        <v>96</v>
      </c>
      <c r="B101" s="33" t="s">
        <v>66</v>
      </c>
      <c r="C101" s="33"/>
      <c r="D101" s="33"/>
      <c r="E101" s="96"/>
      <c r="F101" s="80">
        <f t="shared" ref="F101:Q101" si="68">SUM(F99:F100)</f>
        <v>1254.33</v>
      </c>
      <c r="G101" s="80">
        <f t="shared" si="68"/>
        <v>1254.33</v>
      </c>
      <c r="H101" s="80">
        <f t="shared" si="68"/>
        <v>1254.33</v>
      </c>
      <c r="I101" s="80">
        <f t="shared" si="68"/>
        <v>1254.33</v>
      </c>
      <c r="J101" s="80">
        <f t="shared" si="68"/>
        <v>1160.58</v>
      </c>
      <c r="K101" s="80">
        <f t="shared" si="68"/>
        <v>1160.58</v>
      </c>
      <c r="L101" s="80">
        <f t="shared" si="68"/>
        <v>1160.58</v>
      </c>
      <c r="M101" s="80">
        <f t="shared" si="68"/>
        <v>1160.58</v>
      </c>
      <c r="N101" s="80">
        <f t="shared" si="68"/>
        <v>1254.33</v>
      </c>
      <c r="O101" s="80">
        <f t="shared" si="68"/>
        <v>1254.33</v>
      </c>
      <c r="P101" s="80">
        <f t="shared" si="68"/>
        <v>1254.33</v>
      </c>
      <c r="Q101" s="80">
        <f t="shared" si="68"/>
        <v>1254.33</v>
      </c>
      <c r="R101" s="80">
        <f>SUM(R99:R100)</f>
        <v>14676.96</v>
      </c>
      <c r="S101" s="149">
        <f t="shared" ref="S101:AD101" si="69">SUM(S99:S100)</f>
        <v>1254.33</v>
      </c>
      <c r="T101" s="149">
        <f t="shared" si="69"/>
        <v>2508.66</v>
      </c>
      <c r="U101" s="149">
        <f t="shared" si="69"/>
        <v>3762.99</v>
      </c>
      <c r="V101" s="149">
        <f t="shared" si="69"/>
        <v>5017.32</v>
      </c>
      <c r="W101" s="149">
        <f t="shared" si="69"/>
        <v>6177.9</v>
      </c>
      <c r="X101" s="149">
        <f t="shared" si="69"/>
        <v>7338.48</v>
      </c>
      <c r="Y101" s="149">
        <f t="shared" si="69"/>
        <v>8499.06</v>
      </c>
      <c r="Z101" s="149">
        <f t="shared" si="69"/>
        <v>9659.64</v>
      </c>
      <c r="AA101" s="149">
        <f t="shared" si="69"/>
        <v>10913.97</v>
      </c>
      <c r="AB101" s="149">
        <f t="shared" si="69"/>
        <v>12168.3</v>
      </c>
      <c r="AC101" s="149">
        <f t="shared" si="69"/>
        <v>13422.63</v>
      </c>
      <c r="AD101" s="149">
        <f t="shared" si="69"/>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0">+E$16</f>
        <v>12</v>
      </c>
      <c r="F104" s="79">
        <f t="shared" ref="F104:Q109" si="71">ROUND(+$R104/$E104,2)</f>
        <v>3033.08</v>
      </c>
      <c r="G104" s="79">
        <f t="shared" si="71"/>
        <v>3033.08</v>
      </c>
      <c r="H104" s="79">
        <f t="shared" si="71"/>
        <v>3033.08</v>
      </c>
      <c r="I104" s="79">
        <f t="shared" si="71"/>
        <v>3033.08</v>
      </c>
      <c r="J104" s="79">
        <f t="shared" si="71"/>
        <v>3033.08</v>
      </c>
      <c r="K104" s="79">
        <f t="shared" si="71"/>
        <v>3033.08</v>
      </c>
      <c r="L104" s="79">
        <f t="shared" si="71"/>
        <v>3033.08</v>
      </c>
      <c r="M104" s="79">
        <f t="shared" si="71"/>
        <v>3033.08</v>
      </c>
      <c r="N104" s="79">
        <f t="shared" si="71"/>
        <v>3033.08</v>
      </c>
      <c r="O104" s="79">
        <f t="shared" si="71"/>
        <v>3033.08</v>
      </c>
      <c r="P104" s="79">
        <f t="shared" si="71"/>
        <v>3033.08</v>
      </c>
      <c r="Q104" s="79">
        <f t="shared" si="71"/>
        <v>3033.08</v>
      </c>
      <c r="R104" s="79">
        <f>+'New Year-Full Year'!G104</f>
        <v>36397</v>
      </c>
      <c r="S104" s="139">
        <f t="shared" ref="S104:S109" si="72">SUM(F104)</f>
        <v>3033.08</v>
      </c>
      <c r="T104" s="139">
        <f>SUM($F104:G104)</f>
        <v>6066.16</v>
      </c>
      <c r="U104" s="139">
        <f>SUM($F104:H104)</f>
        <v>9099.24</v>
      </c>
      <c r="V104" s="139">
        <f>SUM($F104:I104)</f>
        <v>12132.32</v>
      </c>
      <c r="W104" s="139">
        <f>SUM($F104:J104)</f>
        <v>15165.4</v>
      </c>
      <c r="X104" s="139">
        <f>SUM($F104:K104)</f>
        <v>18198.48</v>
      </c>
      <c r="Y104" s="139">
        <f>SUM($F104:L104)</f>
        <v>21231.559999999998</v>
      </c>
      <c r="Z104" s="139">
        <f>SUM($F104:M104)</f>
        <v>24264.639999999999</v>
      </c>
      <c r="AA104" s="139">
        <f>SUM($F104:N104)</f>
        <v>27297.72</v>
      </c>
      <c r="AB104" s="139">
        <f>SUM($F104:O104)</f>
        <v>30330.800000000003</v>
      </c>
      <c r="AC104" s="139">
        <f>SUM($F104:P104)</f>
        <v>33363.880000000005</v>
      </c>
      <c r="AD104" s="139">
        <f>SUM($F104:Q104)</f>
        <v>36396.960000000006</v>
      </c>
    </row>
    <row r="105" spans="1:30" x14ac:dyDescent="0.25">
      <c r="A105" s="106">
        <v>100</v>
      </c>
      <c r="C105" s="1" t="s">
        <v>56</v>
      </c>
      <c r="E105" s="101">
        <f t="shared" si="70"/>
        <v>12</v>
      </c>
      <c r="F105" s="79">
        <f t="shared" si="71"/>
        <v>379.17</v>
      </c>
      <c r="G105" s="79">
        <f t="shared" si="71"/>
        <v>379.17</v>
      </c>
      <c r="H105" s="79">
        <f t="shared" si="71"/>
        <v>379.17</v>
      </c>
      <c r="I105" s="79">
        <f t="shared" si="71"/>
        <v>379.17</v>
      </c>
      <c r="J105" s="79">
        <f t="shared" si="71"/>
        <v>379.17</v>
      </c>
      <c r="K105" s="79">
        <f t="shared" si="71"/>
        <v>379.17</v>
      </c>
      <c r="L105" s="79">
        <f t="shared" si="71"/>
        <v>379.17</v>
      </c>
      <c r="M105" s="79">
        <f t="shared" si="71"/>
        <v>379.17</v>
      </c>
      <c r="N105" s="79">
        <f t="shared" si="71"/>
        <v>379.17</v>
      </c>
      <c r="O105" s="79">
        <f t="shared" si="71"/>
        <v>379.17</v>
      </c>
      <c r="P105" s="79">
        <f t="shared" si="71"/>
        <v>379.17</v>
      </c>
      <c r="Q105" s="79">
        <f t="shared" si="71"/>
        <v>379.17</v>
      </c>
      <c r="R105" s="79">
        <f>+'New Year-Full Year'!G105</f>
        <v>4550</v>
      </c>
      <c r="S105" s="139">
        <f t="shared" si="72"/>
        <v>379.17</v>
      </c>
      <c r="T105" s="139">
        <f>SUM($F105:G105)</f>
        <v>758.34</v>
      </c>
      <c r="U105" s="139">
        <f>SUM($F105:H105)</f>
        <v>1137.51</v>
      </c>
      <c r="V105" s="139">
        <f>SUM($F105:I105)</f>
        <v>1516.68</v>
      </c>
      <c r="W105" s="139">
        <f>SUM($F105:J105)</f>
        <v>1895.8500000000001</v>
      </c>
      <c r="X105" s="139">
        <f>SUM($F105:K105)</f>
        <v>2275.02</v>
      </c>
      <c r="Y105" s="139">
        <f>SUM($F105:L105)</f>
        <v>2654.19</v>
      </c>
      <c r="Z105" s="139">
        <f>SUM($F105:M105)</f>
        <v>3033.36</v>
      </c>
      <c r="AA105" s="139">
        <f>SUM($F105:N105)</f>
        <v>3412.53</v>
      </c>
      <c r="AB105" s="139">
        <f>SUM($F105:O105)</f>
        <v>3791.7000000000003</v>
      </c>
      <c r="AC105" s="139">
        <f>SUM($F105:P105)</f>
        <v>4170.87</v>
      </c>
      <c r="AD105" s="139">
        <f>SUM($F105:Q105)</f>
        <v>4550.04</v>
      </c>
    </row>
    <row r="106" spans="1:30" x14ac:dyDescent="0.25">
      <c r="A106" s="106">
        <v>101</v>
      </c>
      <c r="C106" s="1" t="s">
        <v>58</v>
      </c>
      <c r="E106" s="101">
        <f t="shared" si="70"/>
        <v>12</v>
      </c>
      <c r="F106" s="79">
        <f t="shared" si="71"/>
        <v>62.5</v>
      </c>
      <c r="G106" s="79">
        <f t="shared" si="71"/>
        <v>62.5</v>
      </c>
      <c r="H106" s="79">
        <f t="shared" si="71"/>
        <v>62.5</v>
      </c>
      <c r="I106" s="79">
        <f t="shared" si="71"/>
        <v>62.5</v>
      </c>
      <c r="J106" s="79">
        <f t="shared" si="71"/>
        <v>62.5</v>
      </c>
      <c r="K106" s="79">
        <f t="shared" si="71"/>
        <v>62.5</v>
      </c>
      <c r="L106" s="79">
        <f t="shared" si="71"/>
        <v>62.5</v>
      </c>
      <c r="M106" s="79">
        <f t="shared" si="71"/>
        <v>62.5</v>
      </c>
      <c r="N106" s="79">
        <f t="shared" si="71"/>
        <v>62.5</v>
      </c>
      <c r="O106" s="79">
        <f t="shared" si="71"/>
        <v>62.5</v>
      </c>
      <c r="P106" s="79">
        <f t="shared" si="71"/>
        <v>62.5</v>
      </c>
      <c r="Q106" s="79">
        <f t="shared" si="71"/>
        <v>62.5</v>
      </c>
      <c r="R106" s="79">
        <f>+'New Year-Full Year'!G106</f>
        <v>750</v>
      </c>
      <c r="S106" s="139">
        <f t="shared" si="72"/>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0"/>
        <v>12</v>
      </c>
      <c r="F107" s="79">
        <f t="shared" si="71"/>
        <v>166.67</v>
      </c>
      <c r="G107" s="79">
        <f t="shared" si="71"/>
        <v>166.67</v>
      </c>
      <c r="H107" s="79">
        <f t="shared" si="71"/>
        <v>166.67</v>
      </c>
      <c r="I107" s="79">
        <f t="shared" si="71"/>
        <v>166.67</v>
      </c>
      <c r="J107" s="79">
        <f t="shared" si="71"/>
        <v>166.67</v>
      </c>
      <c r="K107" s="79">
        <f t="shared" si="71"/>
        <v>166.67</v>
      </c>
      <c r="L107" s="79">
        <f t="shared" si="71"/>
        <v>166.67</v>
      </c>
      <c r="M107" s="79">
        <f t="shared" si="71"/>
        <v>166.67</v>
      </c>
      <c r="N107" s="79">
        <f t="shared" si="71"/>
        <v>166.67</v>
      </c>
      <c r="O107" s="79">
        <f t="shared" si="71"/>
        <v>166.67</v>
      </c>
      <c r="P107" s="79">
        <f t="shared" si="71"/>
        <v>166.67</v>
      </c>
      <c r="Q107" s="79">
        <f t="shared" si="71"/>
        <v>166.67</v>
      </c>
      <c r="R107" s="79">
        <f>+'New Year-Full Year'!G107</f>
        <v>2000</v>
      </c>
      <c r="S107" s="139">
        <f t="shared" si="72"/>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0"/>
        <v>12</v>
      </c>
      <c r="F108" s="79">
        <f t="shared" si="71"/>
        <v>125</v>
      </c>
      <c r="G108" s="79">
        <f t="shared" si="71"/>
        <v>125</v>
      </c>
      <c r="H108" s="79">
        <f t="shared" si="71"/>
        <v>125</v>
      </c>
      <c r="I108" s="79">
        <f t="shared" si="71"/>
        <v>125</v>
      </c>
      <c r="J108" s="79">
        <f t="shared" si="71"/>
        <v>125</v>
      </c>
      <c r="K108" s="79">
        <f t="shared" si="71"/>
        <v>125</v>
      </c>
      <c r="L108" s="79">
        <f t="shared" si="71"/>
        <v>125</v>
      </c>
      <c r="M108" s="79">
        <f t="shared" si="71"/>
        <v>125</v>
      </c>
      <c r="N108" s="79">
        <f t="shared" si="71"/>
        <v>125</v>
      </c>
      <c r="O108" s="79">
        <f t="shared" si="71"/>
        <v>125</v>
      </c>
      <c r="P108" s="79">
        <f t="shared" si="71"/>
        <v>125</v>
      </c>
      <c r="Q108" s="79">
        <f t="shared" si="71"/>
        <v>125</v>
      </c>
      <c r="R108" s="79">
        <f>+'New Year-Full Year'!G108</f>
        <v>1500</v>
      </c>
      <c r="S108" s="139">
        <f t="shared" si="72"/>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0"/>
        <v>12</v>
      </c>
      <c r="F109" s="79">
        <f t="shared" si="71"/>
        <v>108.17</v>
      </c>
      <c r="G109" s="79">
        <f t="shared" si="71"/>
        <v>108.17</v>
      </c>
      <c r="H109" s="79">
        <f t="shared" si="71"/>
        <v>108.17</v>
      </c>
      <c r="I109" s="79">
        <f t="shared" si="71"/>
        <v>108.17</v>
      </c>
      <c r="J109" s="79">
        <f t="shared" si="71"/>
        <v>108.17</v>
      </c>
      <c r="K109" s="79">
        <f t="shared" si="71"/>
        <v>108.17</v>
      </c>
      <c r="L109" s="79">
        <f t="shared" si="71"/>
        <v>108.17</v>
      </c>
      <c r="M109" s="79">
        <f t="shared" si="71"/>
        <v>108.17</v>
      </c>
      <c r="N109" s="79">
        <f t="shared" si="71"/>
        <v>108.17</v>
      </c>
      <c r="O109" s="79">
        <f t="shared" si="71"/>
        <v>108.17</v>
      </c>
      <c r="P109" s="79">
        <f t="shared" si="71"/>
        <v>108.17</v>
      </c>
      <c r="Q109" s="79">
        <f t="shared" si="71"/>
        <v>108.17</v>
      </c>
      <c r="R109" s="79">
        <f>+'New Year-Full Year'!G109</f>
        <v>1298</v>
      </c>
      <c r="S109" s="139">
        <f t="shared" si="72"/>
        <v>108.17</v>
      </c>
      <c r="T109" s="139">
        <f>SUM($F109:G109)</f>
        <v>216.34</v>
      </c>
      <c r="U109" s="139">
        <f>SUM($F109:H109)</f>
        <v>324.51</v>
      </c>
      <c r="V109" s="139">
        <f>SUM($F109:I109)</f>
        <v>432.68</v>
      </c>
      <c r="W109" s="139">
        <f>SUM($F109:J109)</f>
        <v>540.85</v>
      </c>
      <c r="X109" s="139">
        <f>SUM($F109:K109)</f>
        <v>649.02</v>
      </c>
      <c r="Y109" s="139">
        <f>SUM($F109:L109)</f>
        <v>757.18999999999994</v>
      </c>
      <c r="Z109" s="139">
        <f>SUM($F109:M109)</f>
        <v>865.3599999999999</v>
      </c>
      <c r="AA109" s="139">
        <f>SUM($F109:N109)</f>
        <v>973.52999999999986</v>
      </c>
      <c r="AB109" s="139">
        <f>SUM($F109:O109)</f>
        <v>1081.6999999999998</v>
      </c>
      <c r="AC109" s="139">
        <f>SUM($F109:P109)</f>
        <v>1189.8699999999999</v>
      </c>
      <c r="AD109" s="139">
        <f>SUM($F109:Q109)</f>
        <v>1298.04</v>
      </c>
    </row>
    <row r="110" spans="1:30" s="5" customFormat="1" x14ac:dyDescent="0.25">
      <c r="A110" s="106">
        <v>105</v>
      </c>
      <c r="B110" s="33" t="s">
        <v>69</v>
      </c>
      <c r="C110" s="33"/>
      <c r="D110" s="33"/>
      <c r="E110" s="96"/>
      <c r="F110" s="80">
        <f t="shared" ref="F110:Q110" si="73">SUM(F104:F109)</f>
        <v>3874.59</v>
      </c>
      <c r="G110" s="80">
        <f t="shared" si="73"/>
        <v>3874.59</v>
      </c>
      <c r="H110" s="80">
        <f t="shared" si="73"/>
        <v>3874.59</v>
      </c>
      <c r="I110" s="80">
        <f t="shared" si="73"/>
        <v>3874.59</v>
      </c>
      <c r="J110" s="80">
        <f t="shared" si="73"/>
        <v>3874.59</v>
      </c>
      <c r="K110" s="80">
        <f t="shared" si="73"/>
        <v>3874.59</v>
      </c>
      <c r="L110" s="80">
        <f t="shared" si="73"/>
        <v>3874.59</v>
      </c>
      <c r="M110" s="80">
        <f t="shared" si="73"/>
        <v>3874.59</v>
      </c>
      <c r="N110" s="80">
        <f t="shared" si="73"/>
        <v>3874.59</v>
      </c>
      <c r="O110" s="80">
        <f t="shared" si="73"/>
        <v>3874.59</v>
      </c>
      <c r="P110" s="80">
        <f t="shared" si="73"/>
        <v>3874.59</v>
      </c>
      <c r="Q110" s="80">
        <f t="shared" si="73"/>
        <v>3874.59</v>
      </c>
      <c r="R110" s="80">
        <f>SUM(R104:R109)</f>
        <v>46495</v>
      </c>
      <c r="S110" s="149">
        <f t="shared" ref="S110:AD110" si="74">SUM(S104:S109)</f>
        <v>3874.59</v>
      </c>
      <c r="T110" s="149">
        <f t="shared" si="74"/>
        <v>7749.18</v>
      </c>
      <c r="U110" s="149">
        <f t="shared" si="74"/>
        <v>11623.77</v>
      </c>
      <c r="V110" s="149">
        <f t="shared" si="74"/>
        <v>15498.36</v>
      </c>
      <c r="W110" s="149">
        <f t="shared" si="74"/>
        <v>19372.949999999997</v>
      </c>
      <c r="X110" s="149">
        <f t="shared" si="74"/>
        <v>23247.54</v>
      </c>
      <c r="Y110" s="149">
        <f t="shared" si="74"/>
        <v>27122.129999999994</v>
      </c>
      <c r="Z110" s="149">
        <f t="shared" si="74"/>
        <v>30996.720000000001</v>
      </c>
      <c r="AA110" s="149">
        <f t="shared" si="74"/>
        <v>34871.31</v>
      </c>
      <c r="AB110" s="149">
        <f t="shared" si="74"/>
        <v>38745.899999999994</v>
      </c>
      <c r="AC110" s="149">
        <f t="shared" si="74"/>
        <v>42620.490000000013</v>
      </c>
      <c r="AD110" s="149">
        <f t="shared" si="74"/>
        <v>46495.080000000009</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5">+E$16</f>
        <v>12</v>
      </c>
      <c r="F113" s="79">
        <f t="shared" ref="F113:Q118" si="76">ROUND(+$R113/$E113,2)</f>
        <v>798.33</v>
      </c>
      <c r="G113" s="79">
        <f t="shared" si="76"/>
        <v>798.33</v>
      </c>
      <c r="H113" s="79">
        <f t="shared" si="76"/>
        <v>798.33</v>
      </c>
      <c r="I113" s="79">
        <f t="shared" si="76"/>
        <v>798.33</v>
      </c>
      <c r="J113" s="79">
        <f t="shared" si="76"/>
        <v>798.33</v>
      </c>
      <c r="K113" s="79">
        <f t="shared" si="76"/>
        <v>798.33</v>
      </c>
      <c r="L113" s="79">
        <f t="shared" si="76"/>
        <v>798.33</v>
      </c>
      <c r="M113" s="79">
        <f t="shared" si="76"/>
        <v>798.33</v>
      </c>
      <c r="N113" s="79">
        <f t="shared" si="76"/>
        <v>798.33</v>
      </c>
      <c r="O113" s="79">
        <f t="shared" si="76"/>
        <v>798.33</v>
      </c>
      <c r="P113" s="79">
        <f t="shared" si="76"/>
        <v>798.33</v>
      </c>
      <c r="Q113" s="79">
        <f t="shared" si="76"/>
        <v>798.33</v>
      </c>
      <c r="R113" s="79">
        <f>+'New Year-Full Year'!G113</f>
        <v>9580</v>
      </c>
      <c r="S113" s="139">
        <f t="shared" ref="S113:S118" si="77">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75"/>
        <v>12</v>
      </c>
      <c r="F114" s="79">
        <f t="shared" si="76"/>
        <v>41.67</v>
      </c>
      <c r="G114" s="79">
        <f t="shared" si="76"/>
        <v>41.67</v>
      </c>
      <c r="H114" s="79">
        <f t="shared" si="76"/>
        <v>41.67</v>
      </c>
      <c r="I114" s="79">
        <f t="shared" si="76"/>
        <v>41.67</v>
      </c>
      <c r="J114" s="79">
        <f t="shared" si="76"/>
        <v>41.67</v>
      </c>
      <c r="K114" s="79">
        <f t="shared" si="76"/>
        <v>41.67</v>
      </c>
      <c r="L114" s="79">
        <f t="shared" si="76"/>
        <v>41.67</v>
      </c>
      <c r="M114" s="79">
        <f t="shared" si="76"/>
        <v>41.67</v>
      </c>
      <c r="N114" s="79">
        <f t="shared" si="76"/>
        <v>41.67</v>
      </c>
      <c r="O114" s="79">
        <f t="shared" si="76"/>
        <v>41.67</v>
      </c>
      <c r="P114" s="79">
        <f t="shared" si="76"/>
        <v>41.67</v>
      </c>
      <c r="Q114" s="79">
        <f t="shared" si="76"/>
        <v>41.67</v>
      </c>
      <c r="R114" s="79">
        <f>+'New Year-Full Year'!G114</f>
        <v>500</v>
      </c>
      <c r="S114" s="139">
        <f t="shared" si="77"/>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5"/>
        <v>12</v>
      </c>
      <c r="F115" s="79">
        <f t="shared" si="76"/>
        <v>1512.67</v>
      </c>
      <c r="G115" s="79">
        <f t="shared" si="76"/>
        <v>1512.67</v>
      </c>
      <c r="H115" s="79">
        <f t="shared" si="76"/>
        <v>1512.67</v>
      </c>
      <c r="I115" s="79">
        <f t="shared" si="76"/>
        <v>1512.67</v>
      </c>
      <c r="J115" s="79">
        <f t="shared" si="76"/>
        <v>1512.67</v>
      </c>
      <c r="K115" s="79">
        <f t="shared" si="76"/>
        <v>1512.67</v>
      </c>
      <c r="L115" s="79">
        <f t="shared" si="76"/>
        <v>1512.67</v>
      </c>
      <c r="M115" s="79">
        <f t="shared" si="76"/>
        <v>1512.67</v>
      </c>
      <c r="N115" s="79">
        <f t="shared" si="76"/>
        <v>1512.67</v>
      </c>
      <c r="O115" s="79">
        <f t="shared" si="76"/>
        <v>1512.67</v>
      </c>
      <c r="P115" s="79">
        <f t="shared" si="76"/>
        <v>1512.67</v>
      </c>
      <c r="Q115" s="79">
        <f t="shared" si="76"/>
        <v>1512.67</v>
      </c>
      <c r="R115" s="79">
        <f>+'New Year-Full Year'!G115</f>
        <v>18152</v>
      </c>
      <c r="S115" s="139">
        <f t="shared" si="77"/>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76"/>
        <v>671.3</v>
      </c>
      <c r="G116" s="79">
        <f t="shared" si="76"/>
        <v>671.3</v>
      </c>
      <c r="H116" s="79">
        <f t="shared" si="76"/>
        <v>671.3</v>
      </c>
      <c r="I116" s="79">
        <f t="shared" si="76"/>
        <v>671.3</v>
      </c>
      <c r="J116" s="79">
        <f t="shared" si="76"/>
        <v>671.3</v>
      </c>
      <c r="K116" s="79">
        <f t="shared" si="76"/>
        <v>671.3</v>
      </c>
      <c r="L116" s="71">
        <v>0</v>
      </c>
      <c r="M116" s="71">
        <v>0</v>
      </c>
      <c r="N116" s="79">
        <f t="shared" si="76"/>
        <v>671.3</v>
      </c>
      <c r="O116" s="79">
        <f t="shared" si="76"/>
        <v>671.3</v>
      </c>
      <c r="P116" s="79">
        <f t="shared" si="76"/>
        <v>671.3</v>
      </c>
      <c r="Q116" s="79">
        <f t="shared" si="76"/>
        <v>671.3</v>
      </c>
      <c r="R116" s="79">
        <f>+'New Year-Full Year'!G116</f>
        <v>6713</v>
      </c>
      <c r="S116" s="139">
        <f t="shared" si="77"/>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78">+E$16</f>
        <v>12</v>
      </c>
      <c r="F117" s="79">
        <f t="shared" si="76"/>
        <v>141.5</v>
      </c>
      <c r="G117" s="79">
        <f t="shared" si="76"/>
        <v>141.5</v>
      </c>
      <c r="H117" s="79">
        <f t="shared" si="76"/>
        <v>141.5</v>
      </c>
      <c r="I117" s="79">
        <f t="shared" si="76"/>
        <v>141.5</v>
      </c>
      <c r="J117" s="79">
        <f t="shared" si="76"/>
        <v>141.5</v>
      </c>
      <c r="K117" s="79">
        <f t="shared" si="76"/>
        <v>141.5</v>
      </c>
      <c r="L117" s="79">
        <f t="shared" si="76"/>
        <v>141.5</v>
      </c>
      <c r="M117" s="79">
        <f t="shared" si="76"/>
        <v>141.5</v>
      </c>
      <c r="N117" s="79">
        <f t="shared" si="76"/>
        <v>141.5</v>
      </c>
      <c r="O117" s="79">
        <f t="shared" si="76"/>
        <v>141.5</v>
      </c>
      <c r="P117" s="79">
        <f t="shared" si="76"/>
        <v>141.5</v>
      </c>
      <c r="Q117" s="79">
        <f t="shared" si="76"/>
        <v>141.5</v>
      </c>
      <c r="R117" s="79">
        <f>+'New Year-Full Year'!G117</f>
        <v>1698</v>
      </c>
      <c r="S117" s="139">
        <f t="shared" si="77"/>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8"/>
        <v>12</v>
      </c>
      <c r="F118" s="79">
        <f t="shared" si="76"/>
        <v>200</v>
      </c>
      <c r="G118" s="79">
        <f t="shared" si="76"/>
        <v>200</v>
      </c>
      <c r="H118" s="79">
        <f t="shared" si="76"/>
        <v>200</v>
      </c>
      <c r="I118" s="79">
        <f t="shared" si="76"/>
        <v>200</v>
      </c>
      <c r="J118" s="79">
        <f t="shared" si="76"/>
        <v>200</v>
      </c>
      <c r="K118" s="79">
        <f t="shared" si="76"/>
        <v>200</v>
      </c>
      <c r="L118" s="79">
        <f t="shared" si="76"/>
        <v>200</v>
      </c>
      <c r="M118" s="79">
        <f t="shared" si="76"/>
        <v>200</v>
      </c>
      <c r="N118" s="79">
        <f t="shared" si="76"/>
        <v>200</v>
      </c>
      <c r="O118" s="79">
        <f t="shared" si="76"/>
        <v>200</v>
      </c>
      <c r="P118" s="79">
        <f t="shared" si="76"/>
        <v>200</v>
      </c>
      <c r="Q118" s="79">
        <f t="shared" si="76"/>
        <v>200</v>
      </c>
      <c r="R118" s="79">
        <f>+'New Year-Full Year'!G118</f>
        <v>2400</v>
      </c>
      <c r="S118" s="139">
        <f t="shared" si="77"/>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79">SUM(F113:F118)</f>
        <v>3365.4700000000003</v>
      </c>
      <c r="G119" s="80">
        <f t="shared" si="79"/>
        <v>3365.4700000000003</v>
      </c>
      <c r="H119" s="80">
        <f t="shared" si="79"/>
        <v>3365.4700000000003</v>
      </c>
      <c r="I119" s="80">
        <f t="shared" si="79"/>
        <v>3365.4700000000003</v>
      </c>
      <c r="J119" s="80">
        <f t="shared" si="79"/>
        <v>3365.4700000000003</v>
      </c>
      <c r="K119" s="80">
        <f t="shared" si="79"/>
        <v>3365.4700000000003</v>
      </c>
      <c r="L119" s="80">
        <f t="shared" si="79"/>
        <v>2694.17</v>
      </c>
      <c r="M119" s="80">
        <f t="shared" si="79"/>
        <v>2694.17</v>
      </c>
      <c r="N119" s="80">
        <f t="shared" si="79"/>
        <v>3365.4700000000003</v>
      </c>
      <c r="O119" s="80">
        <f t="shared" si="79"/>
        <v>3365.4700000000003</v>
      </c>
      <c r="P119" s="80">
        <f t="shared" si="79"/>
        <v>3365.4700000000003</v>
      </c>
      <c r="Q119" s="80">
        <f t="shared" si="79"/>
        <v>3365.4700000000003</v>
      </c>
      <c r="R119" s="80">
        <f>SUM(R113:R118)</f>
        <v>39043</v>
      </c>
      <c r="S119" s="149">
        <f t="shared" ref="S119:AD119" si="80">SUM(S113:S118)</f>
        <v>3365.4700000000003</v>
      </c>
      <c r="T119" s="149">
        <f t="shared" si="80"/>
        <v>6730.9400000000005</v>
      </c>
      <c r="U119" s="149">
        <f t="shared" si="80"/>
        <v>10096.41</v>
      </c>
      <c r="V119" s="149">
        <f t="shared" si="80"/>
        <v>13461.880000000001</v>
      </c>
      <c r="W119" s="149">
        <f t="shared" si="80"/>
        <v>16827.349999999999</v>
      </c>
      <c r="X119" s="149">
        <f t="shared" si="80"/>
        <v>20192.82</v>
      </c>
      <c r="Y119" s="149">
        <f t="shared" si="80"/>
        <v>22886.99</v>
      </c>
      <c r="Z119" s="149">
        <f t="shared" si="80"/>
        <v>25581.16</v>
      </c>
      <c r="AA119" s="149">
        <f t="shared" si="80"/>
        <v>28946.629999999997</v>
      </c>
      <c r="AB119" s="149">
        <f t="shared" si="80"/>
        <v>32312.100000000002</v>
      </c>
      <c r="AC119" s="149">
        <f t="shared" si="80"/>
        <v>35677.570000000007</v>
      </c>
      <c r="AD119" s="149">
        <f t="shared" si="80"/>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f t="shared" ref="E122:E128" si="81">+E$16</f>
        <v>12</v>
      </c>
      <c r="F122" s="79">
        <f t="shared" ref="F122:Q131" si="82">ROUND(+$R122/$E122,2)</f>
        <v>1031.25</v>
      </c>
      <c r="G122" s="79">
        <f t="shared" si="82"/>
        <v>1031.25</v>
      </c>
      <c r="H122" s="79">
        <f t="shared" si="82"/>
        <v>1031.25</v>
      </c>
      <c r="I122" s="79">
        <f t="shared" si="82"/>
        <v>1031.25</v>
      </c>
      <c r="J122" s="79">
        <f t="shared" si="82"/>
        <v>1031.25</v>
      </c>
      <c r="K122" s="79">
        <f t="shared" si="82"/>
        <v>1031.25</v>
      </c>
      <c r="L122" s="79">
        <f t="shared" si="82"/>
        <v>1031.25</v>
      </c>
      <c r="M122" s="79">
        <f t="shared" si="82"/>
        <v>1031.25</v>
      </c>
      <c r="N122" s="79">
        <f t="shared" si="82"/>
        <v>1031.25</v>
      </c>
      <c r="O122" s="79">
        <f t="shared" si="82"/>
        <v>1031.25</v>
      </c>
      <c r="P122" s="79">
        <f t="shared" si="82"/>
        <v>1031.25</v>
      </c>
      <c r="Q122" s="79">
        <f t="shared" si="82"/>
        <v>1031.25</v>
      </c>
      <c r="R122" s="79">
        <f>+'New Year-Full Year'!G122</f>
        <v>12375</v>
      </c>
      <c r="S122" s="139">
        <f t="shared" ref="S122:S131" si="83">SUM(F122)</f>
        <v>1031.25</v>
      </c>
      <c r="T122" s="139">
        <f>SUM($F122:G122)</f>
        <v>2062.5</v>
      </c>
      <c r="U122" s="139">
        <f>SUM($F122:H122)</f>
        <v>3093.75</v>
      </c>
      <c r="V122" s="139">
        <f>SUM($F122:I122)</f>
        <v>4125</v>
      </c>
      <c r="W122" s="139">
        <f>SUM($F122:J122)</f>
        <v>5156.25</v>
      </c>
      <c r="X122" s="139">
        <f>SUM($F122:K122)</f>
        <v>6187.5</v>
      </c>
      <c r="Y122" s="139">
        <f>SUM($F122:L122)</f>
        <v>7218.75</v>
      </c>
      <c r="Z122" s="139">
        <f>SUM($F122:M122)</f>
        <v>8250</v>
      </c>
      <c r="AA122" s="139">
        <f>SUM($F122:N122)</f>
        <v>9281.25</v>
      </c>
      <c r="AB122" s="139">
        <f>SUM($F122:O122)</f>
        <v>10312.5</v>
      </c>
      <c r="AC122" s="139">
        <f>SUM($F122:P122)</f>
        <v>11343.75</v>
      </c>
      <c r="AD122" s="139">
        <f>SUM($F122:Q122)</f>
        <v>12375</v>
      </c>
    </row>
    <row r="123" spans="1:30" x14ac:dyDescent="0.25">
      <c r="A123" s="106">
        <v>118</v>
      </c>
      <c r="C123" s="1" t="s">
        <v>80</v>
      </c>
      <c r="E123" s="101">
        <f t="shared" si="81"/>
        <v>12</v>
      </c>
      <c r="F123" s="79">
        <f t="shared" si="82"/>
        <v>2643.17</v>
      </c>
      <c r="G123" s="79">
        <f t="shared" si="82"/>
        <v>2643.17</v>
      </c>
      <c r="H123" s="79">
        <f t="shared" si="82"/>
        <v>2643.17</v>
      </c>
      <c r="I123" s="79">
        <f t="shared" si="82"/>
        <v>2643.17</v>
      </c>
      <c r="J123" s="79">
        <f t="shared" si="82"/>
        <v>2643.17</v>
      </c>
      <c r="K123" s="79">
        <f t="shared" si="82"/>
        <v>2643.17</v>
      </c>
      <c r="L123" s="79">
        <f t="shared" si="82"/>
        <v>2643.17</v>
      </c>
      <c r="M123" s="79">
        <f t="shared" si="82"/>
        <v>2643.17</v>
      </c>
      <c r="N123" s="79">
        <f t="shared" si="82"/>
        <v>2643.17</v>
      </c>
      <c r="O123" s="79">
        <f t="shared" si="82"/>
        <v>2643.17</v>
      </c>
      <c r="P123" s="79">
        <f t="shared" si="82"/>
        <v>2643.17</v>
      </c>
      <c r="Q123" s="79">
        <f t="shared" si="82"/>
        <v>2643.17</v>
      </c>
      <c r="R123" s="79">
        <f>+'New Year-Full Year'!G123</f>
        <v>31718.039999999994</v>
      </c>
      <c r="S123" s="139">
        <f t="shared" si="83"/>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81"/>
        <v>12</v>
      </c>
      <c r="F124" s="79">
        <f t="shared" si="82"/>
        <v>33.33</v>
      </c>
      <c r="G124" s="79">
        <f t="shared" si="82"/>
        <v>33.33</v>
      </c>
      <c r="H124" s="79">
        <f t="shared" si="82"/>
        <v>33.33</v>
      </c>
      <c r="I124" s="79">
        <f t="shared" si="82"/>
        <v>33.33</v>
      </c>
      <c r="J124" s="79">
        <f t="shared" si="82"/>
        <v>33.33</v>
      </c>
      <c r="K124" s="79">
        <f t="shared" si="82"/>
        <v>33.33</v>
      </c>
      <c r="L124" s="79">
        <f t="shared" si="82"/>
        <v>33.33</v>
      </c>
      <c r="M124" s="79">
        <f t="shared" si="82"/>
        <v>33.33</v>
      </c>
      <c r="N124" s="79">
        <f t="shared" si="82"/>
        <v>33.33</v>
      </c>
      <c r="O124" s="79">
        <f t="shared" si="82"/>
        <v>33.33</v>
      </c>
      <c r="P124" s="79">
        <f t="shared" si="82"/>
        <v>33.33</v>
      </c>
      <c r="Q124" s="79">
        <f t="shared" si="82"/>
        <v>33.33</v>
      </c>
      <c r="R124" s="79">
        <f>+'New Year-Full Year'!G124</f>
        <v>400</v>
      </c>
      <c r="S124" s="139">
        <f t="shared" si="83"/>
        <v>33.33</v>
      </c>
      <c r="T124" s="139">
        <f>SUM($F124:G124)</f>
        <v>66.66</v>
      </c>
      <c r="U124" s="139">
        <f>SUM($F124:H124)</f>
        <v>99.99</v>
      </c>
      <c r="V124" s="139">
        <f>SUM($F124:I124)</f>
        <v>133.32</v>
      </c>
      <c r="W124" s="139">
        <f>SUM($F124:J124)</f>
        <v>166.64999999999998</v>
      </c>
      <c r="X124" s="139">
        <f>SUM($F124:K124)</f>
        <v>199.97999999999996</v>
      </c>
      <c r="Y124" s="139">
        <f>SUM($F124:L124)</f>
        <v>233.30999999999995</v>
      </c>
      <c r="Z124" s="139">
        <f>SUM($F124:M124)</f>
        <v>266.63999999999993</v>
      </c>
      <c r="AA124" s="139">
        <f>SUM($F124:N124)</f>
        <v>299.96999999999991</v>
      </c>
      <c r="AB124" s="139">
        <f>SUM($F124:O124)</f>
        <v>333.2999999999999</v>
      </c>
      <c r="AC124" s="139">
        <f>SUM($F124:P124)</f>
        <v>366.62999999999988</v>
      </c>
      <c r="AD124" s="139">
        <f>SUM($F124:Q124)</f>
        <v>399.95999999999987</v>
      </c>
    </row>
    <row r="125" spans="1:30" x14ac:dyDescent="0.25">
      <c r="A125" s="106">
        <v>120</v>
      </c>
      <c r="C125" s="1" t="s">
        <v>82</v>
      </c>
      <c r="E125" s="101">
        <f t="shared" si="81"/>
        <v>12</v>
      </c>
      <c r="F125" s="79">
        <f t="shared" si="82"/>
        <v>58.33</v>
      </c>
      <c r="G125" s="79">
        <f t="shared" si="82"/>
        <v>58.33</v>
      </c>
      <c r="H125" s="79">
        <f t="shared" si="82"/>
        <v>58.33</v>
      </c>
      <c r="I125" s="79">
        <f t="shared" si="82"/>
        <v>58.33</v>
      </c>
      <c r="J125" s="79">
        <f t="shared" si="82"/>
        <v>58.33</v>
      </c>
      <c r="K125" s="79">
        <f t="shared" si="82"/>
        <v>58.33</v>
      </c>
      <c r="L125" s="79">
        <f t="shared" si="82"/>
        <v>58.33</v>
      </c>
      <c r="M125" s="79">
        <f t="shared" si="82"/>
        <v>58.33</v>
      </c>
      <c r="N125" s="79">
        <f t="shared" si="82"/>
        <v>58.33</v>
      </c>
      <c r="O125" s="79">
        <f t="shared" si="82"/>
        <v>58.33</v>
      </c>
      <c r="P125" s="79">
        <f t="shared" si="82"/>
        <v>58.33</v>
      </c>
      <c r="Q125" s="79">
        <f t="shared" si="82"/>
        <v>58.33</v>
      </c>
      <c r="R125" s="79">
        <f>+'New Year-Full Year'!G125</f>
        <v>700</v>
      </c>
      <c r="S125" s="139">
        <f t="shared" si="83"/>
        <v>58.33</v>
      </c>
      <c r="T125" s="139">
        <f>SUM($F125:G125)</f>
        <v>116.66</v>
      </c>
      <c r="U125" s="139">
        <f>SUM($F125:H125)</f>
        <v>174.99</v>
      </c>
      <c r="V125" s="139">
        <f>SUM($F125:I125)</f>
        <v>233.32</v>
      </c>
      <c r="W125" s="139">
        <f>SUM($F125:J125)</f>
        <v>291.64999999999998</v>
      </c>
      <c r="X125" s="139">
        <f>SUM($F125:K125)</f>
        <v>349.97999999999996</v>
      </c>
      <c r="Y125" s="139">
        <f>SUM($F125:L125)</f>
        <v>408.30999999999995</v>
      </c>
      <c r="Z125" s="139">
        <f>SUM($F125:M125)</f>
        <v>466.63999999999993</v>
      </c>
      <c r="AA125" s="139">
        <f>SUM($F125:N125)</f>
        <v>524.96999999999991</v>
      </c>
      <c r="AB125" s="139">
        <f>SUM($F125:O125)</f>
        <v>583.29999999999995</v>
      </c>
      <c r="AC125" s="139">
        <f>SUM($F125:P125)</f>
        <v>641.63</v>
      </c>
      <c r="AD125" s="139">
        <f>SUM($F125:Q125)</f>
        <v>699.96</v>
      </c>
    </row>
    <row r="126" spans="1:30" x14ac:dyDescent="0.25">
      <c r="A126" s="106">
        <v>121</v>
      </c>
      <c r="C126" s="1" t="s">
        <v>83</v>
      </c>
      <c r="E126" s="101">
        <f t="shared" si="81"/>
        <v>12</v>
      </c>
      <c r="F126" s="79">
        <f t="shared" si="82"/>
        <v>0</v>
      </c>
      <c r="G126" s="79">
        <f t="shared" si="82"/>
        <v>0</v>
      </c>
      <c r="H126" s="79">
        <f t="shared" si="82"/>
        <v>0</v>
      </c>
      <c r="I126" s="79">
        <f t="shared" si="82"/>
        <v>0</v>
      </c>
      <c r="J126" s="79">
        <f t="shared" si="82"/>
        <v>0</v>
      </c>
      <c r="K126" s="79">
        <f t="shared" si="82"/>
        <v>0</v>
      </c>
      <c r="L126" s="79">
        <f t="shared" si="82"/>
        <v>0</v>
      </c>
      <c r="M126" s="79">
        <f t="shared" si="82"/>
        <v>0</v>
      </c>
      <c r="N126" s="79">
        <f t="shared" si="82"/>
        <v>0</v>
      </c>
      <c r="O126" s="79">
        <f t="shared" si="82"/>
        <v>0</v>
      </c>
      <c r="P126" s="79">
        <f t="shared" si="82"/>
        <v>0</v>
      </c>
      <c r="Q126" s="79">
        <f t="shared" si="82"/>
        <v>0</v>
      </c>
      <c r="R126" s="79">
        <f>+'New Year-Full Year'!G126</f>
        <v>0</v>
      </c>
      <c r="S126" s="139">
        <f t="shared" si="83"/>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f t="shared" si="81"/>
        <v>12</v>
      </c>
      <c r="F127" s="79">
        <f t="shared" si="82"/>
        <v>1495</v>
      </c>
      <c r="G127" s="79">
        <f t="shared" si="82"/>
        <v>1495</v>
      </c>
      <c r="H127" s="79">
        <f t="shared" si="82"/>
        <v>1495</v>
      </c>
      <c r="I127" s="79">
        <f t="shared" si="82"/>
        <v>1495</v>
      </c>
      <c r="J127" s="79">
        <f t="shared" si="82"/>
        <v>1495</v>
      </c>
      <c r="K127" s="79">
        <f t="shared" si="82"/>
        <v>1495</v>
      </c>
      <c r="L127" s="79">
        <f t="shared" si="82"/>
        <v>1495</v>
      </c>
      <c r="M127" s="79">
        <f t="shared" si="82"/>
        <v>1495</v>
      </c>
      <c r="N127" s="79">
        <f t="shared" si="82"/>
        <v>1495</v>
      </c>
      <c r="O127" s="79">
        <f t="shared" si="82"/>
        <v>1495</v>
      </c>
      <c r="P127" s="79">
        <f t="shared" si="82"/>
        <v>1495</v>
      </c>
      <c r="Q127" s="79">
        <f t="shared" si="82"/>
        <v>1495</v>
      </c>
      <c r="R127" s="79">
        <f>+'New Year-Full Year'!G127</f>
        <v>17940</v>
      </c>
      <c r="S127" s="139">
        <f t="shared" si="83"/>
        <v>1495</v>
      </c>
      <c r="T127" s="139">
        <f>SUM($F127:G127)</f>
        <v>2990</v>
      </c>
      <c r="U127" s="139">
        <f>SUM($F127:H127)</f>
        <v>4485</v>
      </c>
      <c r="V127" s="139">
        <f>SUM($F127:I127)</f>
        <v>5980</v>
      </c>
      <c r="W127" s="139">
        <f>SUM($F127:J127)</f>
        <v>7475</v>
      </c>
      <c r="X127" s="139">
        <f>SUM($F127:K127)</f>
        <v>8970</v>
      </c>
      <c r="Y127" s="139">
        <f>SUM($F127:L127)</f>
        <v>10465</v>
      </c>
      <c r="Z127" s="139">
        <f>SUM($F127:M127)</f>
        <v>11960</v>
      </c>
      <c r="AA127" s="139">
        <f>SUM($F127:N127)</f>
        <v>13455</v>
      </c>
      <c r="AB127" s="139">
        <f>SUM($F127:O127)</f>
        <v>14950</v>
      </c>
      <c r="AC127" s="139">
        <f>SUM($F127:P127)</f>
        <v>16445</v>
      </c>
      <c r="AD127" s="139">
        <f>SUM($F127:Q127)</f>
        <v>17940</v>
      </c>
    </row>
    <row r="128" spans="1:30" x14ac:dyDescent="0.25">
      <c r="A128" s="106">
        <v>123</v>
      </c>
      <c r="C128" s="1" t="s">
        <v>84</v>
      </c>
      <c r="E128" s="101">
        <f t="shared" si="81"/>
        <v>12</v>
      </c>
      <c r="F128" s="79">
        <f t="shared" si="82"/>
        <v>783.33</v>
      </c>
      <c r="G128" s="79">
        <f t="shared" si="82"/>
        <v>783.33</v>
      </c>
      <c r="H128" s="79">
        <f t="shared" si="82"/>
        <v>783.33</v>
      </c>
      <c r="I128" s="79">
        <f t="shared" si="82"/>
        <v>783.33</v>
      </c>
      <c r="J128" s="79">
        <f t="shared" si="82"/>
        <v>783.33</v>
      </c>
      <c r="K128" s="79">
        <f t="shared" si="82"/>
        <v>783.33</v>
      </c>
      <c r="L128" s="79">
        <f t="shared" si="82"/>
        <v>783.33</v>
      </c>
      <c r="M128" s="79">
        <f t="shared" si="82"/>
        <v>783.33</v>
      </c>
      <c r="N128" s="79">
        <f t="shared" si="82"/>
        <v>783.33</v>
      </c>
      <c r="O128" s="79">
        <f t="shared" si="82"/>
        <v>783.33</v>
      </c>
      <c r="P128" s="79">
        <f t="shared" si="82"/>
        <v>783.33</v>
      </c>
      <c r="Q128" s="79">
        <f t="shared" si="82"/>
        <v>783.33</v>
      </c>
      <c r="R128" s="79">
        <f>+'New Year-Full Year'!G128</f>
        <v>9400</v>
      </c>
      <c r="S128" s="139">
        <f t="shared" si="83"/>
        <v>783.33</v>
      </c>
      <c r="T128" s="139">
        <f>SUM($F128:G128)</f>
        <v>1566.66</v>
      </c>
      <c r="U128" s="139">
        <f>SUM($F128:H128)</f>
        <v>2349.9900000000002</v>
      </c>
      <c r="V128" s="139">
        <f>SUM($F128:I128)</f>
        <v>3133.32</v>
      </c>
      <c r="W128" s="139">
        <f>SUM($F128:J128)</f>
        <v>3916.65</v>
      </c>
      <c r="X128" s="139">
        <f>SUM($F128:K128)</f>
        <v>4699.9800000000005</v>
      </c>
      <c r="Y128" s="139">
        <f>SUM($F128:L128)</f>
        <v>5483.31</v>
      </c>
      <c r="Z128" s="139">
        <f>SUM($F128:M128)</f>
        <v>6266.64</v>
      </c>
      <c r="AA128" s="139">
        <f>SUM($F128:N128)</f>
        <v>7049.97</v>
      </c>
      <c r="AB128" s="139">
        <f>SUM($F128:O128)</f>
        <v>7833.3</v>
      </c>
      <c r="AC128" s="139">
        <f>SUM($F128:P128)</f>
        <v>8616.630000000001</v>
      </c>
      <c r="AD128" s="139">
        <f>SUM($F128:Q128)</f>
        <v>9399.9600000000009</v>
      </c>
    </row>
    <row r="129" spans="1:30" x14ac:dyDescent="0.25">
      <c r="A129" s="106">
        <v>124</v>
      </c>
      <c r="C129" s="1" t="s">
        <v>85</v>
      </c>
      <c r="E129" s="100">
        <v>4</v>
      </c>
      <c r="F129" s="79">
        <f t="shared" si="82"/>
        <v>862.75</v>
      </c>
      <c r="G129" s="71">
        <v>0</v>
      </c>
      <c r="H129" s="71">
        <v>0</v>
      </c>
      <c r="I129" s="79">
        <f t="shared" si="82"/>
        <v>862.75</v>
      </c>
      <c r="J129" s="71">
        <v>0</v>
      </c>
      <c r="K129" s="71">
        <v>0</v>
      </c>
      <c r="L129" s="79">
        <f t="shared" si="82"/>
        <v>862.75</v>
      </c>
      <c r="M129" s="71">
        <v>0</v>
      </c>
      <c r="N129" s="71">
        <v>0</v>
      </c>
      <c r="O129" s="79">
        <f t="shared" si="82"/>
        <v>862.75</v>
      </c>
      <c r="P129" s="71">
        <v>0</v>
      </c>
      <c r="Q129" s="71">
        <v>0</v>
      </c>
      <c r="R129" s="79">
        <f>+'New Year-Full Year'!G129</f>
        <v>3451</v>
      </c>
      <c r="S129" s="139">
        <f t="shared" si="83"/>
        <v>862.75</v>
      </c>
      <c r="T129" s="139">
        <f>SUM($F129:G129)</f>
        <v>862.75</v>
      </c>
      <c r="U129" s="139">
        <f>SUM($F129:H129)</f>
        <v>862.75</v>
      </c>
      <c r="V129" s="139">
        <f>SUM($F129:I129)</f>
        <v>1725.5</v>
      </c>
      <c r="W129" s="139">
        <f>SUM($F129:J129)</f>
        <v>1725.5</v>
      </c>
      <c r="X129" s="139">
        <f>SUM($F129:K129)</f>
        <v>1725.5</v>
      </c>
      <c r="Y129" s="139">
        <f>SUM($F129:L129)</f>
        <v>2588.25</v>
      </c>
      <c r="Z129" s="139">
        <f>SUM($F129:M129)</f>
        <v>2588.25</v>
      </c>
      <c r="AA129" s="139">
        <f>SUM($F129:N129)</f>
        <v>2588.25</v>
      </c>
      <c r="AB129" s="139">
        <f>SUM($F129:O129)</f>
        <v>3451</v>
      </c>
      <c r="AC129" s="139">
        <f>SUM($F129:P129)</f>
        <v>3451</v>
      </c>
      <c r="AD129" s="139">
        <f>SUM($F129:Q129)</f>
        <v>3451</v>
      </c>
    </row>
    <row r="130" spans="1:30" x14ac:dyDescent="0.25">
      <c r="A130" s="106">
        <v>125</v>
      </c>
      <c r="C130" s="1" t="s">
        <v>86</v>
      </c>
      <c r="E130" s="101">
        <f t="shared" ref="E130" si="84">+E$16</f>
        <v>12</v>
      </c>
      <c r="F130" s="79">
        <f t="shared" si="82"/>
        <v>50</v>
      </c>
      <c r="G130" s="79">
        <f t="shared" si="82"/>
        <v>50</v>
      </c>
      <c r="H130" s="79">
        <f t="shared" si="82"/>
        <v>50</v>
      </c>
      <c r="I130" s="79">
        <f t="shared" si="82"/>
        <v>50</v>
      </c>
      <c r="J130" s="79">
        <f t="shared" si="82"/>
        <v>50</v>
      </c>
      <c r="K130" s="79">
        <f t="shared" si="82"/>
        <v>50</v>
      </c>
      <c r="L130" s="79">
        <f t="shared" si="82"/>
        <v>50</v>
      </c>
      <c r="M130" s="79">
        <f t="shared" si="82"/>
        <v>50</v>
      </c>
      <c r="N130" s="79">
        <f t="shared" si="82"/>
        <v>50</v>
      </c>
      <c r="O130" s="79">
        <f t="shared" si="82"/>
        <v>50</v>
      </c>
      <c r="P130" s="79">
        <f t="shared" si="82"/>
        <v>50</v>
      </c>
      <c r="Q130" s="79">
        <f t="shared" si="82"/>
        <v>50</v>
      </c>
      <c r="R130" s="79">
        <f>+'New Year-Full Year'!G130</f>
        <v>600</v>
      </c>
      <c r="S130" s="139">
        <f t="shared" si="83"/>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2"/>
        <v>0</v>
      </c>
      <c r="G131" s="71">
        <v>0</v>
      </c>
      <c r="H131" s="71">
        <v>0</v>
      </c>
      <c r="I131" s="71">
        <v>0</v>
      </c>
      <c r="J131" s="71">
        <v>0</v>
      </c>
      <c r="K131" s="71">
        <v>0</v>
      </c>
      <c r="L131" s="79">
        <f t="shared" si="82"/>
        <v>0</v>
      </c>
      <c r="M131" s="71">
        <v>0</v>
      </c>
      <c r="N131" s="71">
        <v>0</v>
      </c>
      <c r="O131" s="71">
        <v>0</v>
      </c>
      <c r="P131" s="71">
        <v>0</v>
      </c>
      <c r="Q131" s="71">
        <v>0</v>
      </c>
      <c r="R131" s="79">
        <f>+'New Year-Full Year'!G131</f>
        <v>0</v>
      </c>
      <c r="S131" s="139">
        <f t="shared" si="83"/>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Q132" si="85">SUM(F122:F131)</f>
        <v>6957.16</v>
      </c>
      <c r="G132" s="80">
        <f t="shared" si="85"/>
        <v>6094.41</v>
      </c>
      <c r="H132" s="80">
        <f t="shared" si="85"/>
        <v>6094.41</v>
      </c>
      <c r="I132" s="80">
        <f t="shared" si="85"/>
        <v>6957.16</v>
      </c>
      <c r="J132" s="80">
        <f t="shared" si="85"/>
        <v>6094.41</v>
      </c>
      <c r="K132" s="80">
        <f t="shared" si="85"/>
        <v>6094.41</v>
      </c>
      <c r="L132" s="80">
        <f t="shared" si="85"/>
        <v>6957.16</v>
      </c>
      <c r="M132" s="80">
        <f t="shared" si="85"/>
        <v>6094.41</v>
      </c>
      <c r="N132" s="80">
        <f t="shared" si="85"/>
        <v>6094.41</v>
      </c>
      <c r="O132" s="80">
        <f t="shared" si="85"/>
        <v>6957.16</v>
      </c>
      <c r="P132" s="80">
        <f t="shared" si="85"/>
        <v>6094.41</v>
      </c>
      <c r="Q132" s="80">
        <f t="shared" si="85"/>
        <v>6094.41</v>
      </c>
      <c r="R132" s="80">
        <f>SUM(R122:R131)</f>
        <v>76584.039999999994</v>
      </c>
      <c r="S132" s="149">
        <f t="shared" ref="S132:AD132" si="86">SUM(S122:S131)</f>
        <v>6957.16</v>
      </c>
      <c r="T132" s="149">
        <f t="shared" si="86"/>
        <v>13051.57</v>
      </c>
      <c r="U132" s="149">
        <f t="shared" si="86"/>
        <v>19145.98</v>
      </c>
      <c r="V132" s="149">
        <f t="shared" si="86"/>
        <v>26103.14</v>
      </c>
      <c r="W132" s="149">
        <f t="shared" si="86"/>
        <v>32197.550000000003</v>
      </c>
      <c r="X132" s="149">
        <f t="shared" si="86"/>
        <v>38291.96</v>
      </c>
      <c r="Y132" s="149">
        <f t="shared" si="86"/>
        <v>45249.120000000003</v>
      </c>
      <c r="Z132" s="149">
        <f t="shared" si="86"/>
        <v>51343.53</v>
      </c>
      <c r="AA132" s="149">
        <f t="shared" si="86"/>
        <v>57437.94</v>
      </c>
      <c r="AB132" s="149">
        <f t="shared" si="86"/>
        <v>64395.100000000006</v>
      </c>
      <c r="AC132" s="149">
        <f t="shared" si="86"/>
        <v>70489.509999999995</v>
      </c>
      <c r="AD132" s="149">
        <f t="shared" si="86"/>
        <v>76583.92</v>
      </c>
    </row>
    <row r="133" spans="1:30" x14ac:dyDescent="0.25">
      <c r="A133" s="106">
        <v>128</v>
      </c>
      <c r="B133" s="33" t="s">
        <v>88</v>
      </c>
      <c r="C133" s="33"/>
      <c r="D133" s="44" t="str">
        <f>0*100%&amp;"% Cost of Living"</f>
        <v>0% Cost of Living</v>
      </c>
      <c r="E133" s="96"/>
      <c r="F133" s="80">
        <f t="shared" ref="F133:Q133" si="87">+F91+F96+F101+F110+F119+F132</f>
        <v>27414.31</v>
      </c>
      <c r="G133" s="80">
        <f t="shared" si="87"/>
        <v>26551.56</v>
      </c>
      <c r="H133" s="80">
        <f t="shared" si="87"/>
        <v>26551.56</v>
      </c>
      <c r="I133" s="80">
        <f t="shared" si="87"/>
        <v>27414.31</v>
      </c>
      <c r="J133" s="80">
        <f t="shared" si="87"/>
        <v>26457.81</v>
      </c>
      <c r="K133" s="80">
        <f t="shared" si="87"/>
        <v>26457.81</v>
      </c>
      <c r="L133" s="80">
        <f t="shared" si="87"/>
        <v>26649.26</v>
      </c>
      <c r="M133" s="80">
        <f t="shared" si="87"/>
        <v>25786.51</v>
      </c>
      <c r="N133" s="80">
        <f t="shared" si="87"/>
        <v>26551.56</v>
      </c>
      <c r="O133" s="80">
        <f t="shared" si="87"/>
        <v>27414.31</v>
      </c>
      <c r="P133" s="80">
        <f t="shared" si="87"/>
        <v>26551.56</v>
      </c>
      <c r="Q133" s="80">
        <f t="shared" si="87"/>
        <v>26551.56</v>
      </c>
      <c r="R133" s="80">
        <f>+R91+R96+R101+R110+R119+R132</f>
        <v>320352.03999999998</v>
      </c>
      <c r="S133" s="149">
        <f t="shared" ref="S133:AD133" si="88">+S91+S96+S101+S110+S119+S132</f>
        <v>27414.31</v>
      </c>
      <c r="T133" s="149">
        <f t="shared" si="88"/>
        <v>53965.87</v>
      </c>
      <c r="U133" s="149">
        <f t="shared" si="88"/>
        <v>80517.429999999993</v>
      </c>
      <c r="V133" s="149">
        <f t="shared" si="88"/>
        <v>107931.74</v>
      </c>
      <c r="W133" s="149">
        <f t="shared" si="88"/>
        <v>134389.54999999999</v>
      </c>
      <c r="X133" s="149">
        <f t="shared" si="88"/>
        <v>160847.35999999999</v>
      </c>
      <c r="Y133" s="149">
        <f t="shared" si="88"/>
        <v>187496.62</v>
      </c>
      <c r="Z133" s="149">
        <f t="shared" si="88"/>
        <v>213283.13</v>
      </c>
      <c r="AA133" s="149">
        <f t="shared" si="88"/>
        <v>239834.69</v>
      </c>
      <c r="AB133" s="149">
        <f t="shared" si="88"/>
        <v>267249</v>
      </c>
      <c r="AC133" s="149">
        <f t="shared" si="88"/>
        <v>293800.56</v>
      </c>
      <c r="AD133" s="149">
        <f t="shared" si="88"/>
        <v>320352.12</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89">+E$16</f>
        <v>12</v>
      </c>
      <c r="F137" s="79">
        <f>ROUND(+$R137/$E137,2)</f>
        <v>1416.67</v>
      </c>
      <c r="G137" s="79">
        <f t="shared" ref="G137:Q142" si="90">ROUND(+$R137/$E137,2)</f>
        <v>1416.67</v>
      </c>
      <c r="H137" s="79">
        <f t="shared" si="90"/>
        <v>1416.67</v>
      </c>
      <c r="I137" s="79">
        <f t="shared" si="90"/>
        <v>1416.67</v>
      </c>
      <c r="J137" s="79">
        <f t="shared" si="90"/>
        <v>1416.67</v>
      </c>
      <c r="K137" s="79">
        <f t="shared" si="90"/>
        <v>1416.67</v>
      </c>
      <c r="L137" s="79">
        <f t="shared" si="90"/>
        <v>1416.67</v>
      </c>
      <c r="M137" s="79">
        <f t="shared" si="90"/>
        <v>1416.67</v>
      </c>
      <c r="N137" s="79">
        <f t="shared" si="90"/>
        <v>1416.67</v>
      </c>
      <c r="O137" s="79">
        <f t="shared" si="90"/>
        <v>1416.67</v>
      </c>
      <c r="P137" s="79">
        <f t="shared" si="90"/>
        <v>1416.67</v>
      </c>
      <c r="Q137" s="79">
        <f t="shared" si="90"/>
        <v>1416.67</v>
      </c>
      <c r="R137" s="79">
        <f>+'New Year-Full Year'!G137</f>
        <v>17000</v>
      </c>
      <c r="S137" s="139">
        <f t="shared" ref="S137:S143" si="91">SUM(F137)</f>
        <v>1416.67</v>
      </c>
      <c r="T137" s="139">
        <f>SUM($F137:G137)</f>
        <v>2833.34</v>
      </c>
      <c r="U137" s="139">
        <f>SUM($F137:H137)</f>
        <v>4250.01</v>
      </c>
      <c r="V137" s="139">
        <f>SUM($F137:I137)</f>
        <v>5666.68</v>
      </c>
      <c r="W137" s="139">
        <f>SUM($F137:J137)</f>
        <v>7083.35</v>
      </c>
      <c r="X137" s="139">
        <f>SUM($F137:K137)</f>
        <v>8500.02</v>
      </c>
      <c r="Y137" s="139">
        <f>SUM($F137:L137)</f>
        <v>9916.69</v>
      </c>
      <c r="Z137" s="139">
        <f>SUM($F137:M137)</f>
        <v>11333.36</v>
      </c>
      <c r="AA137" s="139">
        <f>SUM($F137:N137)</f>
        <v>12750.03</v>
      </c>
      <c r="AB137" s="139">
        <f>SUM($F137:O137)</f>
        <v>14166.7</v>
      </c>
      <c r="AC137" s="139">
        <f>SUM($F137:P137)</f>
        <v>15583.37</v>
      </c>
      <c r="AD137" s="139">
        <f>SUM($F137:Q137)</f>
        <v>17000.04</v>
      </c>
    </row>
    <row r="138" spans="1:30" x14ac:dyDescent="0.25">
      <c r="A138" s="106">
        <v>133</v>
      </c>
      <c r="C138" s="1" t="s">
        <v>93</v>
      </c>
      <c r="E138" s="101">
        <f t="shared" si="89"/>
        <v>12</v>
      </c>
      <c r="F138" s="79">
        <f>ROUND(+$R138/$E138,2)</f>
        <v>875</v>
      </c>
      <c r="G138" s="79">
        <f t="shared" si="90"/>
        <v>875</v>
      </c>
      <c r="H138" s="79">
        <f t="shared" si="90"/>
        <v>875</v>
      </c>
      <c r="I138" s="79">
        <f t="shared" si="90"/>
        <v>875</v>
      </c>
      <c r="J138" s="79">
        <f t="shared" si="90"/>
        <v>875</v>
      </c>
      <c r="K138" s="79">
        <f t="shared" si="90"/>
        <v>875</v>
      </c>
      <c r="L138" s="79">
        <f t="shared" si="90"/>
        <v>875</v>
      </c>
      <c r="M138" s="79">
        <f t="shared" si="90"/>
        <v>875</v>
      </c>
      <c r="N138" s="79">
        <f t="shared" si="90"/>
        <v>875</v>
      </c>
      <c r="O138" s="79">
        <f t="shared" si="90"/>
        <v>875</v>
      </c>
      <c r="P138" s="79">
        <f t="shared" si="90"/>
        <v>875</v>
      </c>
      <c r="Q138" s="79">
        <f t="shared" si="90"/>
        <v>875</v>
      </c>
      <c r="R138" s="79">
        <f>+'New Year-Full Year'!G138</f>
        <v>10500</v>
      </c>
      <c r="S138" s="139">
        <f t="shared" si="91"/>
        <v>875</v>
      </c>
      <c r="T138" s="139">
        <f>SUM($F138:G138)</f>
        <v>1750</v>
      </c>
      <c r="U138" s="139">
        <f>SUM($F138:H138)</f>
        <v>2625</v>
      </c>
      <c r="V138" s="139">
        <f>SUM($F138:I138)</f>
        <v>3500</v>
      </c>
      <c r="W138" s="139">
        <f>SUM($F138:J138)</f>
        <v>4375</v>
      </c>
      <c r="X138" s="139">
        <f>SUM($F138:K138)</f>
        <v>5250</v>
      </c>
      <c r="Y138" s="139">
        <f>SUM($F138:L138)</f>
        <v>6125</v>
      </c>
      <c r="Z138" s="139">
        <f>SUM($F138:M138)</f>
        <v>7000</v>
      </c>
      <c r="AA138" s="139">
        <f>SUM($F138:N138)</f>
        <v>7875</v>
      </c>
      <c r="AB138" s="139">
        <f>SUM($F138:O138)</f>
        <v>8750</v>
      </c>
      <c r="AC138" s="139">
        <f>SUM($F138:P138)</f>
        <v>9625</v>
      </c>
      <c r="AD138" s="139">
        <f>SUM($F138:Q138)</f>
        <v>10500</v>
      </c>
    </row>
    <row r="139" spans="1:30" x14ac:dyDescent="0.25">
      <c r="A139" s="106">
        <v>134</v>
      </c>
      <c r="C139" s="1" t="s">
        <v>94</v>
      </c>
      <c r="E139" s="101">
        <f t="shared" si="89"/>
        <v>12</v>
      </c>
      <c r="F139" s="79">
        <f>ROUND(+$R139/$E139,2)</f>
        <v>461</v>
      </c>
      <c r="G139" s="79">
        <f t="shared" si="90"/>
        <v>461</v>
      </c>
      <c r="H139" s="79">
        <f t="shared" si="90"/>
        <v>461</v>
      </c>
      <c r="I139" s="79">
        <f t="shared" si="90"/>
        <v>461</v>
      </c>
      <c r="J139" s="79">
        <f t="shared" si="90"/>
        <v>461</v>
      </c>
      <c r="K139" s="79">
        <f t="shared" si="90"/>
        <v>461</v>
      </c>
      <c r="L139" s="79">
        <f t="shared" si="90"/>
        <v>461</v>
      </c>
      <c r="M139" s="79">
        <f t="shared" si="90"/>
        <v>461</v>
      </c>
      <c r="N139" s="79">
        <f t="shared" si="90"/>
        <v>461</v>
      </c>
      <c r="O139" s="79">
        <f t="shared" si="90"/>
        <v>461</v>
      </c>
      <c r="P139" s="79">
        <f t="shared" si="90"/>
        <v>461</v>
      </c>
      <c r="Q139" s="79">
        <f t="shared" si="90"/>
        <v>461</v>
      </c>
      <c r="R139" s="79">
        <f>+'New Year-Full Year'!G139</f>
        <v>5532</v>
      </c>
      <c r="S139" s="139">
        <f t="shared" si="91"/>
        <v>461</v>
      </c>
      <c r="T139" s="139">
        <f>SUM($F139:G139)</f>
        <v>922</v>
      </c>
      <c r="U139" s="139">
        <f>SUM($F139:H139)</f>
        <v>1383</v>
      </c>
      <c r="V139" s="139">
        <f>SUM($F139:I139)</f>
        <v>1844</v>
      </c>
      <c r="W139" s="139">
        <f>SUM($F139:J139)</f>
        <v>2305</v>
      </c>
      <c r="X139" s="139">
        <f>SUM($F139:K139)</f>
        <v>2766</v>
      </c>
      <c r="Y139" s="139">
        <f>SUM($F139:L139)</f>
        <v>3227</v>
      </c>
      <c r="Z139" s="139">
        <f>SUM($F139:M139)</f>
        <v>3688</v>
      </c>
      <c r="AA139" s="139">
        <f>SUM($F139:N139)</f>
        <v>4149</v>
      </c>
      <c r="AB139" s="139">
        <f>SUM($F139:O139)</f>
        <v>4610</v>
      </c>
      <c r="AC139" s="139">
        <f>SUM($F139:P139)</f>
        <v>5071</v>
      </c>
      <c r="AD139" s="139">
        <f>SUM($F139:Q139)</f>
        <v>5532</v>
      </c>
    </row>
    <row r="140" spans="1:30" x14ac:dyDescent="0.25">
      <c r="A140" s="106">
        <v>135</v>
      </c>
      <c r="C140" s="1" t="s">
        <v>95</v>
      </c>
      <c r="E140" s="100">
        <v>4</v>
      </c>
      <c r="F140" s="79">
        <f t="shared" ref="F140:O140" si="92">ROUND(+$R140/$E140,2)</f>
        <v>212.5</v>
      </c>
      <c r="G140" s="71">
        <v>0</v>
      </c>
      <c r="H140" s="71">
        <v>0</v>
      </c>
      <c r="I140" s="79">
        <f t="shared" si="92"/>
        <v>212.5</v>
      </c>
      <c r="J140" s="71">
        <v>0</v>
      </c>
      <c r="K140" s="71">
        <v>0</v>
      </c>
      <c r="L140" s="79">
        <f t="shared" si="92"/>
        <v>212.5</v>
      </c>
      <c r="M140" s="71">
        <v>0</v>
      </c>
      <c r="N140" s="71">
        <v>0</v>
      </c>
      <c r="O140" s="79">
        <f t="shared" si="92"/>
        <v>212.5</v>
      </c>
      <c r="P140" s="71">
        <v>0</v>
      </c>
      <c r="Q140" s="71">
        <v>0</v>
      </c>
      <c r="R140" s="79">
        <f>+'New Year-Full Year'!G140</f>
        <v>850</v>
      </c>
      <c r="S140" s="139">
        <f t="shared" si="91"/>
        <v>212.5</v>
      </c>
      <c r="T140" s="139">
        <f>SUM($F140:G140)</f>
        <v>212.5</v>
      </c>
      <c r="U140" s="139">
        <f>SUM($F140:H140)</f>
        <v>212.5</v>
      </c>
      <c r="V140" s="139">
        <f>SUM($F140:I140)</f>
        <v>425</v>
      </c>
      <c r="W140" s="139">
        <f>SUM($F140:J140)</f>
        <v>425</v>
      </c>
      <c r="X140" s="139">
        <f>SUM($F140:K140)</f>
        <v>425</v>
      </c>
      <c r="Y140" s="139">
        <f>SUM($F140:L140)</f>
        <v>637.5</v>
      </c>
      <c r="Z140" s="139">
        <f>SUM($F140:M140)</f>
        <v>637.5</v>
      </c>
      <c r="AA140" s="139">
        <f>SUM($F140:N140)</f>
        <v>637.5</v>
      </c>
      <c r="AB140" s="139">
        <f>SUM($F140:O140)</f>
        <v>850</v>
      </c>
      <c r="AC140" s="139">
        <f>SUM($F140:P140)</f>
        <v>850</v>
      </c>
      <c r="AD140" s="139">
        <f>SUM($F140:Q140)</f>
        <v>850</v>
      </c>
    </row>
    <row r="141" spans="1:30" x14ac:dyDescent="0.25">
      <c r="A141" s="106">
        <v>136</v>
      </c>
      <c r="C141" s="1" t="s">
        <v>96</v>
      </c>
      <c r="E141" s="101">
        <f t="shared" si="89"/>
        <v>12</v>
      </c>
      <c r="F141" s="79">
        <f>ROUND(+$R141/$E141,2)</f>
        <v>275</v>
      </c>
      <c r="G141" s="79">
        <f t="shared" si="90"/>
        <v>275</v>
      </c>
      <c r="H141" s="79">
        <f t="shared" si="90"/>
        <v>275</v>
      </c>
      <c r="I141" s="79">
        <f t="shared" si="90"/>
        <v>275</v>
      </c>
      <c r="J141" s="79">
        <f t="shared" si="90"/>
        <v>275</v>
      </c>
      <c r="K141" s="79">
        <f t="shared" si="90"/>
        <v>275</v>
      </c>
      <c r="L141" s="79">
        <f t="shared" si="90"/>
        <v>275</v>
      </c>
      <c r="M141" s="79">
        <f t="shared" si="90"/>
        <v>275</v>
      </c>
      <c r="N141" s="79">
        <f t="shared" si="90"/>
        <v>275</v>
      </c>
      <c r="O141" s="79">
        <f t="shared" si="90"/>
        <v>275</v>
      </c>
      <c r="P141" s="79">
        <f t="shared" si="90"/>
        <v>275</v>
      </c>
      <c r="Q141" s="79">
        <f t="shared" si="90"/>
        <v>275</v>
      </c>
      <c r="R141" s="79">
        <f>+'New Year-Full Year'!G141</f>
        <v>3300</v>
      </c>
      <c r="S141" s="139">
        <f t="shared" si="91"/>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89"/>
        <v>12</v>
      </c>
      <c r="F142" s="79">
        <f>ROUND(+$R142/$E142,2)</f>
        <v>225</v>
      </c>
      <c r="G142" s="79">
        <f t="shared" si="90"/>
        <v>225</v>
      </c>
      <c r="H142" s="79">
        <f t="shared" si="90"/>
        <v>225</v>
      </c>
      <c r="I142" s="79">
        <f t="shared" si="90"/>
        <v>225</v>
      </c>
      <c r="J142" s="79">
        <f t="shared" si="90"/>
        <v>225</v>
      </c>
      <c r="K142" s="79">
        <f t="shared" si="90"/>
        <v>225</v>
      </c>
      <c r="L142" s="79">
        <f t="shared" si="90"/>
        <v>225</v>
      </c>
      <c r="M142" s="79">
        <f t="shared" si="90"/>
        <v>225</v>
      </c>
      <c r="N142" s="79">
        <f t="shared" si="90"/>
        <v>225</v>
      </c>
      <c r="O142" s="79">
        <f t="shared" si="90"/>
        <v>225</v>
      </c>
      <c r="P142" s="79">
        <f t="shared" si="90"/>
        <v>225</v>
      </c>
      <c r="Q142" s="79">
        <f t="shared" si="90"/>
        <v>225</v>
      </c>
      <c r="R142" s="79">
        <f>+'New Year-Full Year'!G142</f>
        <v>2700</v>
      </c>
      <c r="S142" s="139">
        <f t="shared" si="91"/>
        <v>225</v>
      </c>
      <c r="T142" s="139">
        <f>SUM($F142:G142)</f>
        <v>450</v>
      </c>
      <c r="U142" s="139">
        <f>SUM($F142:H142)</f>
        <v>675</v>
      </c>
      <c r="V142" s="139">
        <f>SUM($F142:I142)</f>
        <v>900</v>
      </c>
      <c r="W142" s="139">
        <f>SUM($F142:J142)</f>
        <v>1125</v>
      </c>
      <c r="X142" s="139">
        <f>SUM($F142:K142)</f>
        <v>1350</v>
      </c>
      <c r="Y142" s="139">
        <f>SUM($F142:L142)</f>
        <v>1575</v>
      </c>
      <c r="Z142" s="139">
        <f>SUM($F142:M142)</f>
        <v>1800</v>
      </c>
      <c r="AA142" s="139">
        <f>SUM($F142:N142)</f>
        <v>2025</v>
      </c>
      <c r="AB142" s="139">
        <f>SUM($F142:O142)</f>
        <v>2250</v>
      </c>
      <c r="AC142" s="139">
        <f>SUM($F142:P142)</f>
        <v>2475</v>
      </c>
      <c r="AD142" s="139">
        <f>SUM($F142:Q142)</f>
        <v>2700</v>
      </c>
    </row>
    <row r="143" spans="1:30" x14ac:dyDescent="0.25">
      <c r="A143" s="106">
        <v>138</v>
      </c>
      <c r="C143" s="1" t="s">
        <v>98</v>
      </c>
      <c r="E143" s="100">
        <v>1</v>
      </c>
      <c r="F143" s="79">
        <f>ROUND(+$R143/$E143,2)</f>
        <v>3674</v>
      </c>
      <c r="G143" s="71">
        <v>0</v>
      </c>
      <c r="H143" s="71">
        <v>0</v>
      </c>
      <c r="I143" s="71">
        <v>0</v>
      </c>
      <c r="J143" s="71">
        <v>0</v>
      </c>
      <c r="K143" s="71">
        <v>0</v>
      </c>
      <c r="L143" s="71">
        <v>0</v>
      </c>
      <c r="M143" s="71">
        <v>0</v>
      </c>
      <c r="N143" s="71">
        <v>0</v>
      </c>
      <c r="O143" s="71">
        <v>0</v>
      </c>
      <c r="P143" s="71">
        <v>0</v>
      </c>
      <c r="Q143" s="71">
        <v>0</v>
      </c>
      <c r="R143" s="79">
        <f>+'New Year-Full Year'!G143</f>
        <v>3674</v>
      </c>
      <c r="S143" s="139">
        <f t="shared" si="91"/>
        <v>3674</v>
      </c>
      <c r="T143" s="139">
        <f>SUM($F143:G143)</f>
        <v>3674</v>
      </c>
      <c r="U143" s="139">
        <f>SUM($F143:H143)</f>
        <v>3674</v>
      </c>
      <c r="V143" s="139">
        <f>SUM($F143:I143)</f>
        <v>3674</v>
      </c>
      <c r="W143" s="139">
        <f>SUM($F143:J143)</f>
        <v>3674</v>
      </c>
      <c r="X143" s="139">
        <f>SUM($F143:K143)</f>
        <v>3674</v>
      </c>
      <c r="Y143" s="139">
        <f>SUM($F143:L143)</f>
        <v>3674</v>
      </c>
      <c r="Z143" s="139">
        <f>SUM($F143:M143)</f>
        <v>3674</v>
      </c>
      <c r="AA143" s="139">
        <f>SUM($F143:N143)</f>
        <v>3674</v>
      </c>
      <c r="AB143" s="139">
        <f>SUM($F143:O143)</f>
        <v>3674</v>
      </c>
      <c r="AC143" s="139">
        <f>SUM($F143:P143)</f>
        <v>3674</v>
      </c>
      <c r="AD143" s="139">
        <f>SUM($F143:Q143)</f>
        <v>3674</v>
      </c>
    </row>
    <row r="144" spans="1:30" s="5" customFormat="1" x14ac:dyDescent="0.25">
      <c r="A144" s="106">
        <v>139</v>
      </c>
      <c r="B144" s="36" t="s">
        <v>99</v>
      </c>
      <c r="C144" s="36"/>
      <c r="D144" s="36"/>
      <c r="E144" s="97"/>
      <c r="F144" s="81">
        <f t="shared" ref="F144:Q144" si="93">SUM(F137:F143)</f>
        <v>7139.17</v>
      </c>
      <c r="G144" s="81">
        <f t="shared" si="93"/>
        <v>3252.67</v>
      </c>
      <c r="H144" s="81">
        <f t="shared" si="93"/>
        <v>3252.67</v>
      </c>
      <c r="I144" s="81">
        <f t="shared" si="93"/>
        <v>3465.17</v>
      </c>
      <c r="J144" s="81">
        <f t="shared" si="93"/>
        <v>3252.67</v>
      </c>
      <c r="K144" s="81">
        <f t="shared" si="93"/>
        <v>3252.67</v>
      </c>
      <c r="L144" s="81">
        <f t="shared" si="93"/>
        <v>3465.17</v>
      </c>
      <c r="M144" s="81">
        <f t="shared" si="93"/>
        <v>3252.67</v>
      </c>
      <c r="N144" s="81">
        <f t="shared" si="93"/>
        <v>3252.67</v>
      </c>
      <c r="O144" s="81">
        <f t="shared" si="93"/>
        <v>3465.17</v>
      </c>
      <c r="P144" s="81">
        <f t="shared" si="93"/>
        <v>3252.67</v>
      </c>
      <c r="Q144" s="81">
        <f t="shared" si="93"/>
        <v>3252.67</v>
      </c>
      <c r="R144" s="81">
        <f>SUM(R137:R143)</f>
        <v>43556</v>
      </c>
      <c r="S144" s="150">
        <f t="shared" ref="S144:AD144" si="94">SUM(S137:S143)</f>
        <v>7139.17</v>
      </c>
      <c r="T144" s="150">
        <f t="shared" si="94"/>
        <v>10391.84</v>
      </c>
      <c r="U144" s="150">
        <f t="shared" si="94"/>
        <v>13644.51</v>
      </c>
      <c r="V144" s="150">
        <f t="shared" si="94"/>
        <v>17109.68</v>
      </c>
      <c r="W144" s="150">
        <f t="shared" si="94"/>
        <v>20362.349999999999</v>
      </c>
      <c r="X144" s="150">
        <f t="shared" si="94"/>
        <v>23615.02</v>
      </c>
      <c r="Y144" s="150">
        <f t="shared" si="94"/>
        <v>27080.190000000002</v>
      </c>
      <c r="Z144" s="150">
        <f t="shared" si="94"/>
        <v>30332.86</v>
      </c>
      <c r="AA144" s="150">
        <f t="shared" si="94"/>
        <v>33585.53</v>
      </c>
      <c r="AB144" s="150">
        <f t="shared" si="94"/>
        <v>37050.699999999997</v>
      </c>
      <c r="AC144" s="150">
        <f t="shared" si="94"/>
        <v>40303.370000000003</v>
      </c>
      <c r="AD144" s="150">
        <f t="shared" si="94"/>
        <v>43556.04</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5">ROUND(+$R147/$E147,2)</f>
        <v>3125</v>
      </c>
      <c r="G147" s="71">
        <v>0</v>
      </c>
      <c r="H147" s="71">
        <v>0</v>
      </c>
      <c r="I147" s="79">
        <f t="shared" si="95"/>
        <v>3125</v>
      </c>
      <c r="J147" s="71">
        <v>0</v>
      </c>
      <c r="K147" s="71">
        <v>0</v>
      </c>
      <c r="L147" s="79">
        <f t="shared" si="95"/>
        <v>3125</v>
      </c>
      <c r="M147" s="71">
        <v>0</v>
      </c>
      <c r="N147" s="71">
        <v>0</v>
      </c>
      <c r="O147" s="79">
        <f t="shared" si="95"/>
        <v>3125</v>
      </c>
      <c r="P147" s="71">
        <v>0</v>
      </c>
      <c r="Q147" s="71">
        <v>0</v>
      </c>
      <c r="R147" s="79">
        <f>+'New Year-Full Year'!G147</f>
        <v>12500</v>
      </c>
      <c r="S147" s="139">
        <f t="shared" ref="S147:S154" si="96">SUM(F147)</f>
        <v>3125</v>
      </c>
      <c r="T147" s="139">
        <f>SUM($F147:G147)</f>
        <v>3125</v>
      </c>
      <c r="U147" s="139">
        <f>SUM($F147:H147)</f>
        <v>3125</v>
      </c>
      <c r="V147" s="139">
        <f>SUM($F147:I147)</f>
        <v>6250</v>
      </c>
      <c r="W147" s="139">
        <f>SUM($F147:J147)</f>
        <v>6250</v>
      </c>
      <c r="X147" s="139">
        <f>SUM($F147:K147)</f>
        <v>6250</v>
      </c>
      <c r="Y147" s="139">
        <f>SUM($F147:L147)</f>
        <v>9375</v>
      </c>
      <c r="Z147" s="139">
        <f>SUM($F147:M147)</f>
        <v>9375</v>
      </c>
      <c r="AA147" s="139">
        <f>SUM($F147:N147)</f>
        <v>9375</v>
      </c>
      <c r="AB147" s="139">
        <f>SUM($F147:O147)</f>
        <v>12500</v>
      </c>
      <c r="AC147" s="139">
        <f>SUM($F147:P147)</f>
        <v>12500</v>
      </c>
      <c r="AD147" s="139">
        <f>SUM($F147:Q147)</f>
        <v>12500</v>
      </c>
    </row>
    <row r="148" spans="1:30" x14ac:dyDescent="0.25">
      <c r="A148" s="106">
        <v>143</v>
      </c>
      <c r="C148" s="1" t="s">
        <v>102</v>
      </c>
      <c r="E148" s="100">
        <v>5</v>
      </c>
      <c r="F148" s="79">
        <f t="shared" si="95"/>
        <v>1000</v>
      </c>
      <c r="G148" s="79">
        <f t="shared" si="95"/>
        <v>1000</v>
      </c>
      <c r="H148" s="79">
        <f t="shared" si="95"/>
        <v>1000</v>
      </c>
      <c r="I148" s="71">
        <v>0</v>
      </c>
      <c r="J148" s="71">
        <v>0</v>
      </c>
      <c r="K148" s="71">
        <v>0</v>
      </c>
      <c r="L148" s="71">
        <v>0</v>
      </c>
      <c r="M148" s="71">
        <v>0</v>
      </c>
      <c r="N148" s="71">
        <v>0</v>
      </c>
      <c r="O148" s="71">
        <v>0</v>
      </c>
      <c r="P148" s="79">
        <f t="shared" si="95"/>
        <v>1000</v>
      </c>
      <c r="Q148" s="79">
        <f t="shared" si="95"/>
        <v>1000</v>
      </c>
      <c r="R148" s="79">
        <f>+'New Year-Full Year'!G148</f>
        <v>5000</v>
      </c>
      <c r="S148" s="139">
        <f t="shared" si="96"/>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7">+E$16</f>
        <v>12</v>
      </c>
      <c r="F149" s="79">
        <f t="shared" si="95"/>
        <v>208.33</v>
      </c>
      <c r="G149" s="79">
        <f t="shared" si="95"/>
        <v>208.33</v>
      </c>
      <c r="H149" s="79">
        <f t="shared" si="95"/>
        <v>208.33</v>
      </c>
      <c r="I149" s="79">
        <f t="shared" si="95"/>
        <v>208.33</v>
      </c>
      <c r="J149" s="79">
        <f t="shared" si="95"/>
        <v>208.33</v>
      </c>
      <c r="K149" s="79">
        <f t="shared" si="95"/>
        <v>208.33</v>
      </c>
      <c r="L149" s="79">
        <f t="shared" si="95"/>
        <v>208.33</v>
      </c>
      <c r="M149" s="79">
        <f t="shared" si="95"/>
        <v>208.33</v>
      </c>
      <c r="N149" s="79">
        <f t="shared" si="95"/>
        <v>208.33</v>
      </c>
      <c r="O149" s="79">
        <f t="shared" si="95"/>
        <v>208.33</v>
      </c>
      <c r="P149" s="79">
        <f t="shared" si="95"/>
        <v>208.33</v>
      </c>
      <c r="Q149" s="79">
        <f t="shared" si="95"/>
        <v>208.33</v>
      </c>
      <c r="R149" s="79">
        <f>+'New Year-Full Year'!G149</f>
        <v>2500</v>
      </c>
      <c r="S149" s="139">
        <f t="shared" si="96"/>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3" t="s">
        <v>129</v>
      </c>
      <c r="D150" s="223"/>
      <c r="E150" s="101">
        <f t="shared" si="97"/>
        <v>12</v>
      </c>
      <c r="F150" s="79">
        <f t="shared" si="95"/>
        <v>358.33</v>
      </c>
      <c r="G150" s="79">
        <f t="shared" si="95"/>
        <v>358.33</v>
      </c>
      <c r="H150" s="79">
        <f t="shared" si="95"/>
        <v>358.33</v>
      </c>
      <c r="I150" s="79">
        <f t="shared" si="95"/>
        <v>358.33</v>
      </c>
      <c r="J150" s="79">
        <f t="shared" si="95"/>
        <v>358.33</v>
      </c>
      <c r="K150" s="79">
        <f t="shared" si="95"/>
        <v>358.33</v>
      </c>
      <c r="L150" s="79">
        <f t="shared" si="95"/>
        <v>358.33</v>
      </c>
      <c r="M150" s="79">
        <f t="shared" si="95"/>
        <v>358.33</v>
      </c>
      <c r="N150" s="79">
        <f t="shared" si="95"/>
        <v>358.33</v>
      </c>
      <c r="O150" s="79">
        <f t="shared" si="95"/>
        <v>358.33</v>
      </c>
      <c r="P150" s="79">
        <f t="shared" si="95"/>
        <v>358.33</v>
      </c>
      <c r="Q150" s="79">
        <f t="shared" si="95"/>
        <v>358.33</v>
      </c>
      <c r="R150" s="79">
        <f>+'New Year-Full Year'!G150</f>
        <v>4300</v>
      </c>
      <c r="S150" s="139">
        <f t="shared" si="96"/>
        <v>358.33</v>
      </c>
      <c r="T150" s="139">
        <f>SUM($F150:G150)</f>
        <v>716.66</v>
      </c>
      <c r="U150" s="139">
        <f>SUM($F150:H150)</f>
        <v>1074.99</v>
      </c>
      <c r="V150" s="139">
        <f>SUM($F150:I150)</f>
        <v>1433.32</v>
      </c>
      <c r="W150" s="139">
        <f>SUM($F150:J150)</f>
        <v>1791.6499999999999</v>
      </c>
      <c r="X150" s="139">
        <f>SUM($F150:K150)</f>
        <v>2149.98</v>
      </c>
      <c r="Y150" s="139">
        <f>SUM($F150:L150)</f>
        <v>2508.31</v>
      </c>
      <c r="Z150" s="139">
        <f>SUM($F150:M150)</f>
        <v>2866.64</v>
      </c>
      <c r="AA150" s="139">
        <f>SUM($F150:N150)</f>
        <v>3224.97</v>
      </c>
      <c r="AB150" s="139">
        <f>SUM($F150:O150)</f>
        <v>3583.2999999999997</v>
      </c>
      <c r="AC150" s="139">
        <f>SUM($F150:P150)</f>
        <v>3941.6299999999997</v>
      </c>
      <c r="AD150" s="139">
        <f>SUM($F150:Q150)</f>
        <v>4299.96</v>
      </c>
    </row>
    <row r="151" spans="1:30" x14ac:dyDescent="0.25">
      <c r="A151" s="106">
        <v>146</v>
      </c>
      <c r="C151" s="1" t="s">
        <v>104</v>
      </c>
      <c r="E151" s="101">
        <f t="shared" si="97"/>
        <v>12</v>
      </c>
      <c r="F151" s="79">
        <f t="shared" si="95"/>
        <v>500</v>
      </c>
      <c r="G151" s="79">
        <f t="shared" si="95"/>
        <v>500</v>
      </c>
      <c r="H151" s="79">
        <f t="shared" si="95"/>
        <v>500</v>
      </c>
      <c r="I151" s="79">
        <f t="shared" si="95"/>
        <v>500</v>
      </c>
      <c r="J151" s="79">
        <f t="shared" si="95"/>
        <v>500</v>
      </c>
      <c r="K151" s="79">
        <f t="shared" si="95"/>
        <v>500</v>
      </c>
      <c r="L151" s="79">
        <f t="shared" si="95"/>
        <v>500</v>
      </c>
      <c r="M151" s="79">
        <f t="shared" si="95"/>
        <v>500</v>
      </c>
      <c r="N151" s="79">
        <f t="shared" si="95"/>
        <v>500</v>
      </c>
      <c r="O151" s="79">
        <f t="shared" si="95"/>
        <v>500</v>
      </c>
      <c r="P151" s="79">
        <f t="shared" si="95"/>
        <v>500</v>
      </c>
      <c r="Q151" s="79">
        <f t="shared" si="95"/>
        <v>500</v>
      </c>
      <c r="R151" s="79">
        <f>+'New Year-Full Year'!G151</f>
        <v>6000</v>
      </c>
      <c r="S151" s="139">
        <f t="shared" si="96"/>
        <v>500</v>
      </c>
      <c r="T151" s="139">
        <f>SUM($F151:G151)</f>
        <v>1000</v>
      </c>
      <c r="U151" s="139">
        <f>SUM($F151:H151)</f>
        <v>1500</v>
      </c>
      <c r="V151" s="139">
        <f>SUM($F151:I151)</f>
        <v>2000</v>
      </c>
      <c r="W151" s="139">
        <f>SUM($F151:J151)</f>
        <v>2500</v>
      </c>
      <c r="X151" s="139">
        <f>SUM($F151:K151)</f>
        <v>3000</v>
      </c>
      <c r="Y151" s="139">
        <f>SUM($F151:L151)</f>
        <v>3500</v>
      </c>
      <c r="Z151" s="139">
        <f>SUM($F151:M151)</f>
        <v>4000</v>
      </c>
      <c r="AA151" s="139">
        <f>SUM($F151:N151)</f>
        <v>4500</v>
      </c>
      <c r="AB151" s="139">
        <f>SUM($F151:O151)</f>
        <v>5000</v>
      </c>
      <c r="AC151" s="139">
        <f>SUM($F151:P151)</f>
        <v>5500</v>
      </c>
      <c r="AD151" s="139">
        <f>SUM($F151:Q151)</f>
        <v>6000</v>
      </c>
    </row>
    <row r="152" spans="1:30" x14ac:dyDescent="0.25">
      <c r="A152" s="106">
        <v>147</v>
      </c>
      <c r="C152" s="1" t="s">
        <v>105</v>
      </c>
      <c r="E152" s="101">
        <f t="shared" si="97"/>
        <v>12</v>
      </c>
      <c r="F152" s="79">
        <f t="shared" si="95"/>
        <v>0</v>
      </c>
      <c r="G152" s="79">
        <f t="shared" si="95"/>
        <v>0</v>
      </c>
      <c r="H152" s="79">
        <f t="shared" si="95"/>
        <v>0</v>
      </c>
      <c r="I152" s="79">
        <f t="shared" si="95"/>
        <v>0</v>
      </c>
      <c r="J152" s="79">
        <f t="shared" si="95"/>
        <v>0</v>
      </c>
      <c r="K152" s="79">
        <f t="shared" si="95"/>
        <v>0</v>
      </c>
      <c r="L152" s="79">
        <f t="shared" si="95"/>
        <v>0</v>
      </c>
      <c r="M152" s="79">
        <f t="shared" si="95"/>
        <v>0</v>
      </c>
      <c r="N152" s="79">
        <f t="shared" si="95"/>
        <v>0</v>
      </c>
      <c r="O152" s="79">
        <f t="shared" si="95"/>
        <v>0</v>
      </c>
      <c r="P152" s="79">
        <f t="shared" si="95"/>
        <v>0</v>
      </c>
      <c r="Q152" s="79">
        <f t="shared" si="95"/>
        <v>0</v>
      </c>
      <c r="R152" s="79">
        <f>+'New Year-Full Year'!G152</f>
        <v>0</v>
      </c>
      <c r="S152" s="139">
        <f t="shared" si="96"/>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7"/>
        <v>12</v>
      </c>
      <c r="F153" s="79">
        <f t="shared" si="95"/>
        <v>4575</v>
      </c>
      <c r="G153" s="79">
        <f t="shared" si="95"/>
        <v>4575</v>
      </c>
      <c r="H153" s="79">
        <f t="shared" si="95"/>
        <v>4575</v>
      </c>
      <c r="I153" s="79">
        <f t="shared" si="95"/>
        <v>4575</v>
      </c>
      <c r="J153" s="79">
        <f t="shared" si="95"/>
        <v>4575</v>
      </c>
      <c r="K153" s="79">
        <f t="shared" si="95"/>
        <v>4575</v>
      </c>
      <c r="L153" s="79">
        <f t="shared" si="95"/>
        <v>4575</v>
      </c>
      <c r="M153" s="79">
        <f t="shared" si="95"/>
        <v>4575</v>
      </c>
      <c r="N153" s="79">
        <f t="shared" si="95"/>
        <v>4575</v>
      </c>
      <c r="O153" s="79">
        <f t="shared" si="95"/>
        <v>4575</v>
      </c>
      <c r="P153" s="79">
        <f t="shared" si="95"/>
        <v>4575</v>
      </c>
      <c r="Q153" s="79">
        <f t="shared" si="95"/>
        <v>4575</v>
      </c>
      <c r="R153" s="79">
        <f>+'New Year-Full Year'!G153</f>
        <v>54900</v>
      </c>
      <c r="S153" s="139">
        <f t="shared" si="96"/>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7"/>
        <v>12</v>
      </c>
      <c r="F154" s="79">
        <f t="shared" si="95"/>
        <v>0</v>
      </c>
      <c r="G154" s="79">
        <f t="shared" si="95"/>
        <v>0</v>
      </c>
      <c r="H154" s="79">
        <f t="shared" si="95"/>
        <v>0</v>
      </c>
      <c r="I154" s="79">
        <f t="shared" si="95"/>
        <v>0</v>
      </c>
      <c r="J154" s="79">
        <f t="shared" si="95"/>
        <v>0</v>
      </c>
      <c r="K154" s="79">
        <f t="shared" si="95"/>
        <v>0</v>
      </c>
      <c r="L154" s="79">
        <f t="shared" si="95"/>
        <v>0</v>
      </c>
      <c r="M154" s="79">
        <f t="shared" si="95"/>
        <v>0</v>
      </c>
      <c r="N154" s="79">
        <f t="shared" si="95"/>
        <v>0</v>
      </c>
      <c r="O154" s="79">
        <f t="shared" si="95"/>
        <v>0</v>
      </c>
      <c r="P154" s="79">
        <f t="shared" si="95"/>
        <v>0</v>
      </c>
      <c r="Q154" s="79">
        <f t="shared" si="95"/>
        <v>0</v>
      </c>
      <c r="R154" s="79">
        <f>+'New Year-Full Year'!G154</f>
        <v>0</v>
      </c>
      <c r="S154" s="139">
        <f t="shared" si="96"/>
        <v>0</v>
      </c>
      <c r="T154" s="139">
        <f>SUM($F154:G154)</f>
        <v>0</v>
      </c>
      <c r="U154" s="139">
        <f>SUM($F154:H154)</f>
        <v>0</v>
      </c>
      <c r="V154" s="139">
        <f>SUM($F154:I154)</f>
        <v>0</v>
      </c>
      <c r="W154" s="139">
        <f>SUM($F154:J154)</f>
        <v>0</v>
      </c>
      <c r="X154" s="139">
        <f>SUM($F154:K154)</f>
        <v>0</v>
      </c>
      <c r="Y154" s="139">
        <f>SUM($F154:L154)</f>
        <v>0</v>
      </c>
      <c r="Z154" s="139">
        <f>SUM($F154:M154)</f>
        <v>0</v>
      </c>
      <c r="AA154" s="139">
        <f>SUM($F154:N154)</f>
        <v>0</v>
      </c>
      <c r="AB154" s="139">
        <f>SUM($F154:O154)</f>
        <v>0</v>
      </c>
      <c r="AC154" s="139">
        <f>SUM($F154:P154)</f>
        <v>0</v>
      </c>
      <c r="AD154" s="139">
        <f>SUM($F154:Q154)</f>
        <v>0</v>
      </c>
    </row>
    <row r="155" spans="1:30" s="5" customFormat="1" x14ac:dyDescent="0.25">
      <c r="A155" s="106">
        <v>150</v>
      </c>
      <c r="B155" s="36" t="s">
        <v>108</v>
      </c>
      <c r="C155" s="36"/>
      <c r="D155" s="36"/>
      <c r="E155" s="97"/>
      <c r="F155" s="81">
        <f t="shared" ref="F155:Q155" si="98">SUM(F147:F154)</f>
        <v>9766.66</v>
      </c>
      <c r="G155" s="81">
        <f t="shared" si="98"/>
        <v>6641.66</v>
      </c>
      <c r="H155" s="81">
        <f t="shared" si="98"/>
        <v>6641.66</v>
      </c>
      <c r="I155" s="81">
        <f t="shared" si="98"/>
        <v>8766.66</v>
      </c>
      <c r="J155" s="81">
        <f t="shared" si="98"/>
        <v>5641.66</v>
      </c>
      <c r="K155" s="81">
        <f t="shared" si="98"/>
        <v>5641.66</v>
      </c>
      <c r="L155" s="81">
        <f t="shared" si="98"/>
        <v>8766.66</v>
      </c>
      <c r="M155" s="81">
        <f t="shared" si="98"/>
        <v>5641.66</v>
      </c>
      <c r="N155" s="81">
        <f t="shared" si="98"/>
        <v>5641.66</v>
      </c>
      <c r="O155" s="81">
        <f t="shared" si="98"/>
        <v>8766.66</v>
      </c>
      <c r="P155" s="81">
        <f t="shared" si="98"/>
        <v>6641.66</v>
      </c>
      <c r="Q155" s="81">
        <f t="shared" si="98"/>
        <v>6641.66</v>
      </c>
      <c r="R155" s="81">
        <f>SUM(R147:R154)</f>
        <v>85200</v>
      </c>
      <c r="S155" s="150">
        <f t="shared" ref="S155:AD155" si="99">SUM(S147:S154)</f>
        <v>9766.66</v>
      </c>
      <c r="T155" s="150">
        <f t="shared" si="99"/>
        <v>16408.32</v>
      </c>
      <c r="U155" s="150">
        <f t="shared" si="99"/>
        <v>23049.98</v>
      </c>
      <c r="V155" s="150">
        <f t="shared" si="99"/>
        <v>31816.639999999999</v>
      </c>
      <c r="W155" s="150">
        <f t="shared" si="99"/>
        <v>37458.300000000003</v>
      </c>
      <c r="X155" s="150">
        <f t="shared" si="99"/>
        <v>43099.96</v>
      </c>
      <c r="Y155" s="150">
        <f t="shared" si="99"/>
        <v>51866.619999999995</v>
      </c>
      <c r="Z155" s="150">
        <f t="shared" si="99"/>
        <v>57508.28</v>
      </c>
      <c r="AA155" s="150">
        <f t="shared" si="99"/>
        <v>63149.94</v>
      </c>
      <c r="AB155" s="150">
        <f t="shared" si="99"/>
        <v>71916.600000000006</v>
      </c>
      <c r="AC155" s="150">
        <f t="shared" si="99"/>
        <v>78558.260000000009</v>
      </c>
      <c r="AD155" s="150">
        <f t="shared" si="99"/>
        <v>85199.92</v>
      </c>
    </row>
    <row r="156" spans="1:30" x14ac:dyDescent="0.25">
      <c r="A156" s="106">
        <v>151</v>
      </c>
      <c r="B156" s="36" t="s">
        <v>109</v>
      </c>
      <c r="C156" s="36"/>
      <c r="D156" s="36"/>
      <c r="E156" s="97"/>
      <c r="F156" s="81">
        <f t="shared" ref="F156:Q156" si="100">+F144+F155</f>
        <v>16905.830000000002</v>
      </c>
      <c r="G156" s="81">
        <f t="shared" si="100"/>
        <v>9894.33</v>
      </c>
      <c r="H156" s="81">
        <f t="shared" si="100"/>
        <v>9894.33</v>
      </c>
      <c r="I156" s="81">
        <f t="shared" si="100"/>
        <v>12231.83</v>
      </c>
      <c r="J156" s="81">
        <f t="shared" si="100"/>
        <v>8894.33</v>
      </c>
      <c r="K156" s="81">
        <f t="shared" si="100"/>
        <v>8894.33</v>
      </c>
      <c r="L156" s="81">
        <f t="shared" si="100"/>
        <v>12231.83</v>
      </c>
      <c r="M156" s="81">
        <f t="shared" si="100"/>
        <v>8894.33</v>
      </c>
      <c r="N156" s="81">
        <f t="shared" si="100"/>
        <v>8894.33</v>
      </c>
      <c r="O156" s="81">
        <f t="shared" si="100"/>
        <v>12231.83</v>
      </c>
      <c r="P156" s="81">
        <f t="shared" si="100"/>
        <v>9894.33</v>
      </c>
      <c r="Q156" s="81">
        <f t="shared" si="100"/>
        <v>9894.33</v>
      </c>
      <c r="R156" s="81">
        <f>+R144+R155</f>
        <v>128756</v>
      </c>
      <c r="S156" s="150">
        <f t="shared" ref="S156:AD156" si="101">+S144+S155</f>
        <v>16905.830000000002</v>
      </c>
      <c r="T156" s="150">
        <f t="shared" si="101"/>
        <v>26800.16</v>
      </c>
      <c r="U156" s="150">
        <f t="shared" si="101"/>
        <v>36694.49</v>
      </c>
      <c r="V156" s="150">
        <f t="shared" si="101"/>
        <v>48926.32</v>
      </c>
      <c r="W156" s="150">
        <f t="shared" si="101"/>
        <v>57820.65</v>
      </c>
      <c r="X156" s="150">
        <f t="shared" si="101"/>
        <v>66714.98</v>
      </c>
      <c r="Y156" s="150">
        <f t="shared" si="101"/>
        <v>78946.81</v>
      </c>
      <c r="Z156" s="150">
        <f t="shared" si="101"/>
        <v>87841.14</v>
      </c>
      <c r="AA156" s="150">
        <f t="shared" si="101"/>
        <v>96735.47</v>
      </c>
      <c r="AB156" s="150">
        <f t="shared" si="101"/>
        <v>108967.3</v>
      </c>
      <c r="AC156" s="150">
        <f t="shared" si="101"/>
        <v>118861.63</v>
      </c>
      <c r="AD156" s="150">
        <f t="shared" si="101"/>
        <v>128755.95999999999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+'New Year-Full Year'!G160</f>
        <v>0</v>
      </c>
      <c r="S160" s="139">
        <f t="shared" ref="S160:S163" si="102">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727.5</v>
      </c>
      <c r="I161" s="71">
        <v>0</v>
      </c>
      <c r="J161" s="71">
        <v>0</v>
      </c>
      <c r="K161" s="79">
        <f>+$R161/4</f>
        <v>727.5</v>
      </c>
      <c r="L161" s="71">
        <v>0</v>
      </c>
      <c r="M161" s="71">
        <v>0</v>
      </c>
      <c r="N161" s="79">
        <f>+$R161/4</f>
        <v>727.5</v>
      </c>
      <c r="O161" s="71">
        <v>0</v>
      </c>
      <c r="P161" s="71">
        <v>0</v>
      </c>
      <c r="Q161" s="79">
        <f>+$R161/4</f>
        <v>727.5</v>
      </c>
      <c r="R161" s="79">
        <f>+'New Year-Full Year'!G161</f>
        <v>2910</v>
      </c>
      <c r="S161" s="139">
        <f t="shared" si="102"/>
        <v>0</v>
      </c>
      <c r="T161" s="139">
        <f>SUM($F161:G161)</f>
        <v>0</v>
      </c>
      <c r="U161" s="139">
        <f>SUM($F161:H161)</f>
        <v>727.5</v>
      </c>
      <c r="V161" s="139">
        <f>SUM($F161:I161)</f>
        <v>727.5</v>
      </c>
      <c r="W161" s="139">
        <f>SUM($F161:J161)</f>
        <v>727.5</v>
      </c>
      <c r="X161" s="139">
        <f>SUM($F161:K161)</f>
        <v>1455</v>
      </c>
      <c r="Y161" s="139">
        <f>SUM($F161:L161)</f>
        <v>1455</v>
      </c>
      <c r="Z161" s="139">
        <f>SUM($F161:M161)</f>
        <v>1455</v>
      </c>
      <c r="AA161" s="139">
        <f>SUM($F161:N161)</f>
        <v>2182.5</v>
      </c>
      <c r="AB161" s="139">
        <f>SUM($F161:O161)</f>
        <v>2182.5</v>
      </c>
      <c r="AC161" s="139">
        <f>SUM($F161:P161)</f>
        <v>2182.5</v>
      </c>
      <c r="AD161" s="139">
        <f>SUM($F161:Q161)</f>
        <v>2910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+'New Year-Full Year'!G162</f>
        <v>0</v>
      </c>
      <c r="S162" s="139">
        <f t="shared" si="102"/>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3">+E$16</f>
        <v>12</v>
      </c>
      <c r="F163" s="79">
        <f>ROUND(+$R163/$E163,2)</f>
        <v>0</v>
      </c>
      <c r="G163" s="79">
        <f t="shared" ref="G163:Q163" si="104">ROUND(+$R163/$E163,2)</f>
        <v>0</v>
      </c>
      <c r="H163" s="79">
        <f t="shared" si="104"/>
        <v>0</v>
      </c>
      <c r="I163" s="79">
        <f t="shared" si="104"/>
        <v>0</v>
      </c>
      <c r="J163" s="79">
        <f t="shared" si="104"/>
        <v>0</v>
      </c>
      <c r="K163" s="79">
        <f t="shared" si="104"/>
        <v>0</v>
      </c>
      <c r="L163" s="79">
        <f t="shared" si="104"/>
        <v>0</v>
      </c>
      <c r="M163" s="79">
        <f t="shared" si="104"/>
        <v>0</v>
      </c>
      <c r="N163" s="79">
        <f t="shared" si="104"/>
        <v>0</v>
      </c>
      <c r="O163" s="79">
        <f t="shared" si="104"/>
        <v>0</v>
      </c>
      <c r="P163" s="79">
        <f t="shared" si="104"/>
        <v>0</v>
      </c>
      <c r="Q163" s="79">
        <f t="shared" si="104"/>
        <v>0</v>
      </c>
      <c r="R163" s="79">
        <f>+'New Year-Full Year'!G163</f>
        <v>0</v>
      </c>
      <c r="S163" s="139">
        <f t="shared" si="102"/>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row>
    <row r="164" spans="1:30" s="5" customFormat="1" x14ac:dyDescent="0.25">
      <c r="A164" s="106">
        <v>159</v>
      </c>
      <c r="B164" s="38" t="s">
        <v>116</v>
      </c>
      <c r="C164" s="38"/>
      <c r="D164" s="38"/>
      <c r="E164" s="98"/>
      <c r="F164" s="82">
        <f t="shared" ref="F164:Q164" si="105">SUM(F160:F163)</f>
        <v>0</v>
      </c>
      <c r="G164" s="82">
        <f t="shared" si="105"/>
        <v>0</v>
      </c>
      <c r="H164" s="82">
        <f t="shared" si="105"/>
        <v>727.5</v>
      </c>
      <c r="I164" s="82">
        <f t="shared" si="105"/>
        <v>0</v>
      </c>
      <c r="J164" s="82">
        <f t="shared" si="105"/>
        <v>0</v>
      </c>
      <c r="K164" s="82">
        <f t="shared" si="105"/>
        <v>727.5</v>
      </c>
      <c r="L164" s="82">
        <f t="shared" si="105"/>
        <v>0</v>
      </c>
      <c r="M164" s="82">
        <f t="shared" si="105"/>
        <v>0</v>
      </c>
      <c r="N164" s="82">
        <f t="shared" si="105"/>
        <v>727.5</v>
      </c>
      <c r="O164" s="82">
        <f t="shared" si="105"/>
        <v>0</v>
      </c>
      <c r="P164" s="82">
        <f t="shared" si="105"/>
        <v>0</v>
      </c>
      <c r="Q164" s="82">
        <f t="shared" si="105"/>
        <v>727.5</v>
      </c>
      <c r="R164" s="82">
        <f>SUM(R160:R163)</f>
        <v>2910</v>
      </c>
      <c r="S164" s="151">
        <f t="shared" ref="S164:AD164" si="106">SUM(S160:S163)</f>
        <v>0</v>
      </c>
      <c r="T164" s="151">
        <f t="shared" si="106"/>
        <v>0</v>
      </c>
      <c r="U164" s="151">
        <f t="shared" si="106"/>
        <v>727.5</v>
      </c>
      <c r="V164" s="151">
        <f t="shared" si="106"/>
        <v>727.5</v>
      </c>
      <c r="W164" s="151">
        <f t="shared" si="106"/>
        <v>727.5</v>
      </c>
      <c r="X164" s="151">
        <f t="shared" si="106"/>
        <v>1455</v>
      </c>
      <c r="Y164" s="151">
        <f t="shared" si="106"/>
        <v>1455</v>
      </c>
      <c r="Z164" s="151">
        <f t="shared" si="106"/>
        <v>1455</v>
      </c>
      <c r="AA164" s="151">
        <f t="shared" si="106"/>
        <v>2182.5</v>
      </c>
      <c r="AB164" s="151">
        <f t="shared" si="106"/>
        <v>2182.5</v>
      </c>
      <c r="AC164" s="151">
        <f t="shared" si="106"/>
        <v>2182.5</v>
      </c>
      <c r="AD164" s="151">
        <f t="shared" si="106"/>
        <v>2910</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7">+F82+F133+F156+F164+F31</f>
        <v>51787.31</v>
      </c>
      <c r="G166" s="83">
        <f t="shared" si="107"/>
        <v>43913.06</v>
      </c>
      <c r="H166" s="83">
        <f t="shared" si="107"/>
        <v>48878.06</v>
      </c>
      <c r="I166" s="83">
        <f t="shared" si="107"/>
        <v>47163.31</v>
      </c>
      <c r="J166" s="83">
        <f t="shared" si="107"/>
        <v>43569.31</v>
      </c>
      <c r="K166" s="83">
        <f t="shared" si="107"/>
        <v>47784.31</v>
      </c>
      <c r="L166" s="83">
        <f t="shared" si="107"/>
        <v>46488.259999999995</v>
      </c>
      <c r="M166" s="83">
        <f t="shared" si="107"/>
        <v>43348.009999999995</v>
      </c>
      <c r="N166" s="83">
        <f t="shared" si="107"/>
        <v>47933.06</v>
      </c>
      <c r="O166" s="83">
        <f t="shared" si="107"/>
        <v>48063.31</v>
      </c>
      <c r="P166" s="83">
        <f t="shared" si="107"/>
        <v>44063.06</v>
      </c>
      <c r="Q166" s="83">
        <f t="shared" si="107"/>
        <v>48235.139999999992</v>
      </c>
      <c r="R166" s="83">
        <f>+R82+R133+R156+R164+R31</f>
        <v>561226.04</v>
      </c>
      <c r="S166" s="152">
        <f t="shared" ref="S166:AD166" si="108">+S82+S133+S156+S164+S31</f>
        <v>51787.31</v>
      </c>
      <c r="T166" s="152">
        <f t="shared" si="108"/>
        <v>95700.37</v>
      </c>
      <c r="U166" s="152">
        <f t="shared" si="108"/>
        <v>144578.43</v>
      </c>
      <c r="V166" s="152">
        <f t="shared" si="108"/>
        <v>191741.74</v>
      </c>
      <c r="W166" s="152">
        <f t="shared" si="108"/>
        <v>235311.04999999996</v>
      </c>
      <c r="X166" s="152">
        <f t="shared" si="108"/>
        <v>283095.36</v>
      </c>
      <c r="Y166" s="152">
        <f t="shared" si="108"/>
        <v>329583.62</v>
      </c>
      <c r="Z166" s="152">
        <f t="shared" si="108"/>
        <v>372931.63</v>
      </c>
      <c r="AA166" s="152">
        <f t="shared" si="108"/>
        <v>420864.69</v>
      </c>
      <c r="AB166" s="152">
        <f t="shared" si="108"/>
        <v>468928</v>
      </c>
      <c r="AC166" s="152">
        <f t="shared" si="108"/>
        <v>512991.06</v>
      </c>
      <c r="AD166" s="152">
        <f t="shared" si="108"/>
        <v>561226.19999999995</v>
      </c>
    </row>
    <row r="167" spans="1:30" x14ac:dyDescent="0.25">
      <c r="A167" s="106">
        <v>162</v>
      </c>
      <c r="B167" s="40" t="s">
        <v>118</v>
      </c>
      <c r="C167" s="41"/>
      <c r="D167" s="41"/>
      <c r="E167" s="99"/>
      <c r="F167" s="83">
        <f t="shared" ref="F167:Q167" si="109">+F22-F166</f>
        <v>46508.869999999995</v>
      </c>
      <c r="G167" s="83">
        <f t="shared" si="109"/>
        <v>-8633.61</v>
      </c>
      <c r="H167" s="83">
        <f t="shared" si="109"/>
        <v>-12270.409999999996</v>
      </c>
      <c r="I167" s="83">
        <f t="shared" si="109"/>
        <v>-4979.32</v>
      </c>
      <c r="J167" s="83">
        <f t="shared" si="109"/>
        <v>-6480.43</v>
      </c>
      <c r="K167" s="83">
        <f t="shared" si="109"/>
        <v>-15955.029999999999</v>
      </c>
      <c r="L167" s="83">
        <f t="shared" si="109"/>
        <v>45427.100000000006</v>
      </c>
      <c r="M167" s="83">
        <f t="shared" si="109"/>
        <v>-9939.2799999999916</v>
      </c>
      <c r="N167" s="83">
        <f t="shared" si="109"/>
        <v>-13815.14</v>
      </c>
      <c r="O167" s="83">
        <f t="shared" si="109"/>
        <v>-9686.2200000000012</v>
      </c>
      <c r="P167" s="83">
        <f t="shared" si="109"/>
        <v>-4842.1199999999953</v>
      </c>
      <c r="Q167" s="83">
        <f t="shared" si="109"/>
        <v>3444.3900000000067</v>
      </c>
      <c r="R167" s="83">
        <f>+R22-R166</f>
        <v>-4.0000000037252903E-2</v>
      </c>
      <c r="S167" s="152">
        <f t="shared" ref="S167:AD167" si="110">+S22-S166</f>
        <v>46508.869999999995</v>
      </c>
      <c r="T167" s="152">
        <f t="shared" si="110"/>
        <v>37875.260000000009</v>
      </c>
      <c r="U167" s="152">
        <f t="shared" si="110"/>
        <v>25604.850000000006</v>
      </c>
      <c r="V167" s="152">
        <f t="shared" si="110"/>
        <v>20625.53</v>
      </c>
      <c r="W167" s="152">
        <f t="shared" si="110"/>
        <v>14145.100000000035</v>
      </c>
      <c r="X167" s="152">
        <f t="shared" si="110"/>
        <v>-1809.929999999993</v>
      </c>
      <c r="Y167" s="152">
        <f t="shared" si="110"/>
        <v>43617.169999999984</v>
      </c>
      <c r="Z167" s="152">
        <f t="shared" si="110"/>
        <v>33677.889999999956</v>
      </c>
      <c r="AA167" s="152">
        <f t="shared" si="110"/>
        <v>19862.749999999942</v>
      </c>
      <c r="AB167" s="152">
        <f t="shared" si="110"/>
        <v>10176.529999999912</v>
      </c>
      <c r="AC167" s="152">
        <f t="shared" si="110"/>
        <v>5334.4099999999162</v>
      </c>
      <c r="AD167" s="152">
        <f t="shared" si="110"/>
        <v>8778.7999999999302</v>
      </c>
    </row>
    <row r="168" spans="1:30" x14ac:dyDescent="0.25">
      <c r="AC168" s="35" t="s">
        <v>179</v>
      </c>
      <c r="AD168" s="35">
        <f>+R166-AD166</f>
        <v>-0.15999999991618097</v>
      </c>
    </row>
    <row r="169" spans="1:30" x14ac:dyDescent="0.25">
      <c r="AD169" s="35">
        <f>+R167-AD167</f>
        <v>-8778.8399999999674</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9"/>
  <sheetViews>
    <sheetView showGridLines="0" workbookViewId="0">
      <selection activeCell="D7" sqref="D7"/>
    </sheetView>
  </sheetViews>
  <sheetFormatPr defaultRowHeight="15" x14ac:dyDescent="0.25"/>
  <cols>
    <col min="1" max="1" width="4.28515625" style="5" customWidth="1"/>
    <col min="2" max="2" width="9.140625" style="1"/>
    <col min="3" max="3" width="24.7109375" style="1" customWidth="1"/>
    <col min="4" max="4" width="12.140625" style="1" customWidth="1"/>
    <col min="5" max="5" width="13.140625" style="49" customWidth="1"/>
    <col min="6" max="6" width="13.140625" style="66" customWidth="1"/>
    <col min="7" max="7" width="12.140625" style="1" customWidth="1"/>
    <col min="8" max="8" width="33.85546875" style="46" customWidth="1"/>
    <col min="9" max="9" width="10" style="1" bestFit="1" customWidth="1"/>
    <col min="10" max="10" width="11.5703125" style="1" bestFit="1" customWidth="1"/>
    <col min="11" max="16384" width="9.140625" style="1"/>
  </cols>
  <sheetData>
    <row r="1" spans="1:8" ht="41.25" customHeight="1" x14ac:dyDescent="0.25">
      <c r="A1" s="227" t="s">
        <v>123</v>
      </c>
      <c r="B1" s="227"/>
      <c r="C1" s="227"/>
      <c r="D1" s="227"/>
      <c r="E1" s="227"/>
      <c r="F1" s="227"/>
      <c r="G1" s="227"/>
      <c r="H1" s="227"/>
    </row>
    <row r="2" spans="1:8" ht="8.25" customHeight="1" x14ac:dyDescent="0.25">
      <c r="A2" s="228"/>
      <c r="B2" s="228"/>
      <c r="C2" s="228"/>
      <c r="D2" s="228"/>
      <c r="E2" s="228"/>
      <c r="F2" s="228"/>
      <c r="G2" s="228"/>
      <c r="H2" s="228"/>
    </row>
    <row r="3" spans="1:8" ht="23.25" customHeight="1" x14ac:dyDescent="0.25">
      <c r="D3" s="229" t="s">
        <v>121</v>
      </c>
      <c r="E3" s="230"/>
      <c r="F3" s="230"/>
      <c r="G3" s="231"/>
    </row>
    <row r="4" spans="1:8" s="5" customFormat="1" ht="59.25" customHeight="1" x14ac:dyDescent="0.25">
      <c r="D4" s="2" t="s">
        <v>149</v>
      </c>
      <c r="E4" s="48" t="s">
        <v>150</v>
      </c>
      <c r="F4" s="65" t="s">
        <v>152</v>
      </c>
      <c r="G4" s="65" t="s">
        <v>151</v>
      </c>
      <c r="H4" s="10" t="s">
        <v>153</v>
      </c>
    </row>
    <row r="5" spans="1:8" s="5" customFormat="1" ht="18.75" x14ac:dyDescent="0.25">
      <c r="A5" s="11" t="s">
        <v>0</v>
      </c>
      <c r="D5" s="12"/>
      <c r="E5" s="50"/>
      <c r="F5" s="67"/>
      <c r="G5" s="13"/>
      <c r="H5" s="14"/>
    </row>
    <row r="6" spans="1:8" x14ac:dyDescent="0.25">
      <c r="A6" s="5" t="s">
        <v>1</v>
      </c>
    </row>
    <row r="7" spans="1:8" x14ac:dyDescent="0.25">
      <c r="B7" s="1" t="s">
        <v>1</v>
      </c>
      <c r="D7" s="52">
        <f>+'New Year-Full Year'!G7</f>
        <v>541726</v>
      </c>
      <c r="E7" s="47">
        <v>557336.6</v>
      </c>
      <c r="F7" s="64">
        <f>+D7-E7</f>
        <v>-15610.599999999977</v>
      </c>
      <c r="G7" s="7">
        <f>IF(E7=0,"NA",(+D7-E7)/E7)</f>
        <v>-2.8009285591507855E-2</v>
      </c>
      <c r="H7" s="46" t="s">
        <v>154</v>
      </c>
    </row>
    <row r="8" spans="1:8" x14ac:dyDescent="0.25">
      <c r="B8" s="1" t="s">
        <v>2</v>
      </c>
      <c r="D8" s="52">
        <f>+'New Year-Full Year'!G8</f>
        <v>0</v>
      </c>
      <c r="E8" s="47">
        <v>0</v>
      </c>
      <c r="F8" s="64">
        <f t="shared" ref="F8:F12" si="0">+D8-E8</f>
        <v>0</v>
      </c>
      <c r="G8" s="7" t="str">
        <f t="shared" ref="G8:G13" si="1">IF(E8=0,"NA",(+D8-E8)/E8)</f>
        <v>NA</v>
      </c>
    </row>
    <row r="9" spans="1:8" x14ac:dyDescent="0.25">
      <c r="B9" s="1" t="s">
        <v>3</v>
      </c>
      <c r="D9" s="52">
        <f>+'New Year-Full Year'!G9</f>
        <v>4000</v>
      </c>
      <c r="E9" s="47">
        <v>4000</v>
      </c>
      <c r="F9" s="64">
        <f t="shared" si="0"/>
        <v>0</v>
      </c>
      <c r="G9" s="7">
        <f t="shared" si="1"/>
        <v>0</v>
      </c>
    </row>
    <row r="10" spans="1:8" x14ac:dyDescent="0.25">
      <c r="B10" s="1" t="s">
        <v>4</v>
      </c>
      <c r="D10" s="52">
        <f>+'New Year-Full Year'!G10</f>
        <v>1000</v>
      </c>
      <c r="E10" s="47">
        <v>1000</v>
      </c>
      <c r="F10" s="64">
        <f t="shared" si="0"/>
        <v>0</v>
      </c>
      <c r="G10" s="7">
        <f t="shared" si="1"/>
        <v>0</v>
      </c>
    </row>
    <row r="11" spans="1:8" x14ac:dyDescent="0.25">
      <c r="B11" s="1" t="s">
        <v>5</v>
      </c>
      <c r="D11" s="52">
        <f>+'New Year-Full Year'!G11</f>
        <v>5000</v>
      </c>
      <c r="E11" s="47">
        <v>5000</v>
      </c>
      <c r="F11" s="64">
        <f t="shared" si="0"/>
        <v>0</v>
      </c>
      <c r="G11" s="7">
        <f t="shared" si="1"/>
        <v>0</v>
      </c>
    </row>
    <row r="12" spans="1:8" x14ac:dyDescent="0.25">
      <c r="B12" s="1" t="s">
        <v>6</v>
      </c>
      <c r="D12" s="52">
        <f>+'New Year-Full Year'!G12</f>
        <v>2000</v>
      </c>
      <c r="E12" s="47">
        <v>2700</v>
      </c>
      <c r="F12" s="64">
        <f t="shared" si="0"/>
        <v>-700</v>
      </c>
      <c r="G12" s="7">
        <f t="shared" si="1"/>
        <v>-0.25925925925925924</v>
      </c>
    </row>
    <row r="13" spans="1:8" x14ac:dyDescent="0.25">
      <c r="A13" s="15" t="s">
        <v>7</v>
      </c>
      <c r="B13" s="15"/>
      <c r="C13" s="15"/>
      <c r="D13" s="15">
        <f>SUM(D7:D12)</f>
        <v>553726</v>
      </c>
      <c r="E13" s="53">
        <f>SUM(E7:E12)</f>
        <v>570036.6</v>
      </c>
      <c r="F13" s="53">
        <f>SUM(F7:F12)</f>
        <v>-16310.599999999977</v>
      </c>
      <c r="G13" s="16">
        <f t="shared" si="1"/>
        <v>-2.8613250447427373E-2</v>
      </c>
    </row>
    <row r="14" spans="1:8" ht="5.25" customHeight="1" x14ac:dyDescent="0.25">
      <c r="G14" s="8"/>
    </row>
    <row r="15" spans="1:8" x14ac:dyDescent="0.25">
      <c r="A15" s="5" t="s">
        <v>8</v>
      </c>
      <c r="G15" s="8"/>
    </row>
    <row r="16" spans="1:8" x14ac:dyDescent="0.25">
      <c r="B16" s="1" t="s">
        <v>9</v>
      </c>
      <c r="D16" s="52">
        <f>+'New Year-Full Year'!G16</f>
        <v>7500</v>
      </c>
      <c r="E16" s="47">
        <v>10000</v>
      </c>
      <c r="F16" s="64">
        <f t="shared" ref="F16:F20" si="2">+D16-E16</f>
        <v>-2500</v>
      </c>
      <c r="G16" s="7">
        <f t="shared" ref="G16:G22" si="3">IF(E16=0,"NA",(+D16-E16)/E16)</f>
        <v>-0.25</v>
      </c>
      <c r="H16" s="17"/>
    </row>
    <row r="17" spans="1:8" x14ac:dyDescent="0.25">
      <c r="B17" s="1" t="s">
        <v>8</v>
      </c>
      <c r="D17" s="52">
        <f>+'New Year-Full Year'!G17</f>
        <v>0</v>
      </c>
      <c r="E17" s="47">
        <v>0</v>
      </c>
      <c r="F17" s="64">
        <f t="shared" si="2"/>
        <v>0</v>
      </c>
      <c r="G17" s="7" t="str">
        <f t="shared" si="3"/>
        <v>NA</v>
      </c>
    </row>
    <row r="18" spans="1:8" x14ac:dyDescent="0.25">
      <c r="B18" s="1" t="s">
        <v>10</v>
      </c>
      <c r="D18" s="52">
        <f>+'New Year-Full Year'!G18</f>
        <v>0</v>
      </c>
      <c r="E18" s="47">
        <v>0</v>
      </c>
      <c r="F18" s="64">
        <f t="shared" si="2"/>
        <v>0</v>
      </c>
      <c r="G18" s="7" t="str">
        <f t="shared" si="3"/>
        <v>NA</v>
      </c>
    </row>
    <row r="19" spans="1:8" x14ac:dyDescent="0.25">
      <c r="B19" s="1" t="s">
        <v>12</v>
      </c>
      <c r="D19" s="52">
        <f>+'New Year-Full Year'!G19</f>
        <v>0</v>
      </c>
      <c r="E19" s="47"/>
      <c r="F19" s="64">
        <f t="shared" si="2"/>
        <v>0</v>
      </c>
      <c r="G19" s="7" t="str">
        <f t="shared" si="3"/>
        <v>NA</v>
      </c>
    </row>
    <row r="20" spans="1:8" x14ac:dyDescent="0.25">
      <c r="B20" s="1" t="s">
        <v>142</v>
      </c>
      <c r="D20" s="52">
        <f>+'New Year-Full Year'!G20</f>
        <v>0</v>
      </c>
      <c r="E20" s="47">
        <v>0</v>
      </c>
      <c r="F20" s="64">
        <f t="shared" si="2"/>
        <v>0</v>
      </c>
      <c r="G20" s="7" t="str">
        <f t="shared" si="3"/>
        <v>NA</v>
      </c>
    </row>
    <row r="21" spans="1:8" x14ac:dyDescent="0.25">
      <c r="A21" s="15" t="s">
        <v>11</v>
      </c>
      <c r="B21" s="15"/>
      <c r="C21" s="15"/>
      <c r="D21" s="15">
        <f>SUM(D16:D20)</f>
        <v>7500</v>
      </c>
      <c r="E21" s="53">
        <f>SUM(E16:E20)</f>
        <v>10000</v>
      </c>
      <c r="F21" s="53">
        <f>SUM(F16:F20)</f>
        <v>-2500</v>
      </c>
      <c r="G21" s="16">
        <f t="shared" si="3"/>
        <v>-0.25</v>
      </c>
    </row>
    <row r="22" spans="1:8" x14ac:dyDescent="0.25">
      <c r="A22" s="15" t="s">
        <v>14</v>
      </c>
      <c r="B22" s="15"/>
      <c r="C22" s="15"/>
      <c r="D22" s="15">
        <f>+D13+D21</f>
        <v>561226</v>
      </c>
      <c r="E22" s="53">
        <f>+E13+E21</f>
        <v>580036.6</v>
      </c>
      <c r="F22" s="53">
        <f>+F13+F21</f>
        <v>-18810.599999999977</v>
      </c>
      <c r="G22" s="16">
        <f t="shared" si="3"/>
        <v>-3.2430022519268575E-2</v>
      </c>
    </row>
    <row r="23" spans="1:8" ht="6" customHeight="1" x14ac:dyDescent="0.25">
      <c r="G23" s="8"/>
    </row>
    <row r="24" spans="1:8" ht="18.75" x14ac:dyDescent="0.25">
      <c r="A24" s="11" t="s">
        <v>15</v>
      </c>
      <c r="G24" s="8"/>
    </row>
    <row r="25" spans="1:8" ht="18.75" x14ac:dyDescent="0.25">
      <c r="A25" s="11" t="s">
        <v>137</v>
      </c>
      <c r="G25" s="8"/>
    </row>
    <row r="26" spans="1:8" x14ac:dyDescent="0.25">
      <c r="B26" s="1" t="s">
        <v>17</v>
      </c>
      <c r="D26" s="52">
        <f>+'New Year-Full Year'!G26</f>
        <v>561226</v>
      </c>
      <c r="E26" s="49">
        <f>+E22</f>
        <v>580036.6</v>
      </c>
      <c r="F26" s="64">
        <f t="shared" ref="F26:F30" si="4">+D26-E26</f>
        <v>-18810.599999999977</v>
      </c>
      <c r="G26" s="8"/>
    </row>
    <row r="27" spans="1:8" x14ac:dyDescent="0.25">
      <c r="B27" s="1" t="s">
        <v>16</v>
      </c>
      <c r="D27" s="52">
        <f>+'New Year-Full Year'!G27</f>
        <v>-54900</v>
      </c>
      <c r="E27" s="47">
        <v>-54876</v>
      </c>
      <c r="F27" s="64">
        <f t="shared" si="4"/>
        <v>-24</v>
      </c>
      <c r="G27" s="8"/>
      <c r="H27" s="46" t="s">
        <v>156</v>
      </c>
    </row>
    <row r="28" spans="1:8" x14ac:dyDescent="0.25">
      <c r="B28" s="1" t="s">
        <v>18</v>
      </c>
      <c r="D28" s="52">
        <f>+'New Year-Full Year'!G28</f>
        <v>0</v>
      </c>
      <c r="E28" s="47">
        <v>-5000</v>
      </c>
      <c r="F28" s="64">
        <f t="shared" si="4"/>
        <v>5000</v>
      </c>
      <c r="G28" s="8"/>
      <c r="H28" s="46" t="s">
        <v>156</v>
      </c>
    </row>
    <row r="29" spans="1:8" x14ac:dyDescent="0.25">
      <c r="B29" s="1" t="s">
        <v>19</v>
      </c>
      <c r="D29" s="52">
        <f>+'New Year-Full Year'!G29</f>
        <v>0</v>
      </c>
      <c r="E29" s="47">
        <v>-660</v>
      </c>
      <c r="F29" s="64">
        <f t="shared" si="4"/>
        <v>660</v>
      </c>
      <c r="G29" s="8"/>
      <c r="H29" s="46" t="s">
        <v>156</v>
      </c>
    </row>
    <row r="30" spans="1:8" x14ac:dyDescent="0.25">
      <c r="B30" s="1" t="s">
        <v>17</v>
      </c>
      <c r="D30" s="52">
        <f>+'New Year-Full Year'!G30</f>
        <v>506326</v>
      </c>
      <c r="E30" s="49">
        <f>SUM(E26:E29)</f>
        <v>519500.6</v>
      </c>
      <c r="F30" s="64">
        <f t="shared" si="4"/>
        <v>-13174.599999999977</v>
      </c>
      <c r="G30" s="8"/>
    </row>
    <row r="31" spans="1:8" s="5" customFormat="1" x14ac:dyDescent="0.25">
      <c r="A31" s="18"/>
      <c r="B31" s="19" t="s">
        <v>138</v>
      </c>
      <c r="C31" s="18"/>
      <c r="D31" s="18">
        <f>ROUND(+D30*0.1,0)</f>
        <v>50633</v>
      </c>
      <c r="E31" s="54">
        <f>ROUND(+E30*0.1,0)</f>
        <v>51950</v>
      </c>
      <c r="F31" s="54">
        <f>ROUND(+F30*0.1,0)</f>
        <v>-1317</v>
      </c>
      <c r="G31" s="21">
        <f>IF(E31=0,"NA",(+D31-E31)/E31)</f>
        <v>-2.5351299326275265E-2</v>
      </c>
      <c r="H31" s="14" t="s">
        <v>136</v>
      </c>
    </row>
    <row r="32" spans="1:8" s="5" customFormat="1" ht="6.75" customHeight="1" x14ac:dyDescent="0.25">
      <c r="A32" s="22"/>
      <c r="B32" s="23"/>
      <c r="C32" s="22"/>
      <c r="D32" s="22"/>
      <c r="E32" s="55"/>
      <c r="F32" s="55"/>
      <c r="G32" s="25"/>
      <c r="H32" s="14"/>
    </row>
    <row r="33" spans="1:8" s="5" customFormat="1" ht="18.75" x14ac:dyDescent="0.25">
      <c r="A33" s="26" t="s">
        <v>91</v>
      </c>
      <c r="B33" s="23"/>
      <c r="C33" s="22"/>
      <c r="D33" s="22"/>
      <c r="E33" s="55"/>
      <c r="F33" s="55"/>
      <c r="G33" s="25"/>
      <c r="H33" s="14"/>
    </row>
    <row r="34" spans="1:8" x14ac:dyDescent="0.25">
      <c r="A34" s="5" t="s">
        <v>20</v>
      </c>
      <c r="G34" s="8"/>
    </row>
    <row r="35" spans="1:8" x14ac:dyDescent="0.25">
      <c r="B35" s="1" t="s">
        <v>119</v>
      </c>
      <c r="D35" s="52">
        <f>+'New Year-Full Year'!G35</f>
        <v>3500</v>
      </c>
      <c r="E35" s="47">
        <v>4000</v>
      </c>
      <c r="F35" s="64">
        <f t="shared" ref="F35:F40" si="5">+D35-E35</f>
        <v>-500</v>
      </c>
      <c r="G35" s="7">
        <f t="shared" ref="G35:G41" si="6">IF(E35=0,"NA",(+D35-E35)/E35)</f>
        <v>-0.125</v>
      </c>
    </row>
    <row r="36" spans="1:8" x14ac:dyDescent="0.25">
      <c r="B36" s="1" t="s">
        <v>21</v>
      </c>
      <c r="D36" s="52">
        <f>+'New Year-Full Year'!G36</f>
        <v>900</v>
      </c>
      <c r="E36" s="47">
        <v>750</v>
      </c>
      <c r="F36" s="64">
        <f t="shared" si="5"/>
        <v>150</v>
      </c>
      <c r="G36" s="7">
        <f t="shared" si="6"/>
        <v>0.2</v>
      </c>
    </row>
    <row r="37" spans="1:8" x14ac:dyDescent="0.25">
      <c r="B37" s="1" t="s">
        <v>22</v>
      </c>
      <c r="D37" s="52">
        <f>+'New Year-Full Year'!G37</f>
        <v>1200</v>
      </c>
      <c r="E37" s="47">
        <v>750</v>
      </c>
      <c r="F37" s="64">
        <f t="shared" si="5"/>
        <v>450</v>
      </c>
      <c r="G37" s="7">
        <f t="shared" si="6"/>
        <v>0.6</v>
      </c>
    </row>
    <row r="38" spans="1:8" x14ac:dyDescent="0.25">
      <c r="B38" s="1" t="s">
        <v>23</v>
      </c>
      <c r="D38" s="52">
        <f>+'New Year-Full Year'!G38</f>
        <v>400</v>
      </c>
      <c r="E38" s="47">
        <v>500</v>
      </c>
      <c r="F38" s="64">
        <f t="shared" si="5"/>
        <v>-100</v>
      </c>
      <c r="G38" s="7">
        <f t="shared" si="6"/>
        <v>-0.2</v>
      </c>
    </row>
    <row r="39" spans="1:8" x14ac:dyDescent="0.25">
      <c r="B39" s="1" t="s">
        <v>24</v>
      </c>
      <c r="D39" s="52">
        <f>+'New Year-Full Year'!G39</f>
        <v>150</v>
      </c>
      <c r="E39" s="47">
        <v>200</v>
      </c>
      <c r="F39" s="64">
        <f t="shared" si="5"/>
        <v>-50</v>
      </c>
      <c r="G39" s="7">
        <f t="shared" si="6"/>
        <v>-0.25</v>
      </c>
    </row>
    <row r="40" spans="1:8" x14ac:dyDescent="0.25">
      <c r="B40" s="1" t="s">
        <v>124</v>
      </c>
      <c r="D40" s="52">
        <f>+'New Year-Full Year'!G40</f>
        <v>500</v>
      </c>
      <c r="E40" s="47">
        <v>1000</v>
      </c>
      <c r="F40" s="64">
        <f t="shared" si="5"/>
        <v>-500</v>
      </c>
      <c r="G40" s="7">
        <f t="shared" si="6"/>
        <v>-0.5</v>
      </c>
    </row>
    <row r="41" spans="1:8" s="5" customFormat="1" x14ac:dyDescent="0.25">
      <c r="A41" s="27" t="s">
        <v>25</v>
      </c>
      <c r="B41" s="27"/>
      <c r="C41" s="27"/>
      <c r="D41" s="27">
        <f>SUM(D35:D40)</f>
        <v>6650</v>
      </c>
      <c r="E41" s="56">
        <f>SUM(E35:E40)</f>
        <v>7200</v>
      </c>
      <c r="F41" s="56">
        <f>SUM(F35:F40)</f>
        <v>-550</v>
      </c>
      <c r="G41" s="28">
        <f t="shared" si="6"/>
        <v>-7.6388888888888895E-2</v>
      </c>
      <c r="H41" s="14"/>
    </row>
    <row r="42" spans="1:8" ht="6" customHeight="1" x14ac:dyDescent="0.25">
      <c r="G42" s="8"/>
    </row>
    <row r="43" spans="1:8" x14ac:dyDescent="0.25">
      <c r="A43" s="27" t="s">
        <v>26</v>
      </c>
      <c r="B43" s="27"/>
      <c r="C43" s="27"/>
      <c r="D43" s="51">
        <f>+'New Year-Full Year'!G43</f>
        <v>750</v>
      </c>
      <c r="E43" s="57">
        <v>1100</v>
      </c>
      <c r="F43" s="56">
        <f>+D43-E43</f>
        <v>-350</v>
      </c>
      <c r="G43" s="28">
        <f>IF(E43=0,"NA",(+D43-E43)/E43)</f>
        <v>-0.31818181818181818</v>
      </c>
    </row>
    <row r="44" spans="1:8" ht="7.5" customHeight="1" x14ac:dyDescent="0.25">
      <c r="G44" s="8"/>
    </row>
    <row r="45" spans="1:8" x14ac:dyDescent="0.25">
      <c r="A45" s="5" t="s">
        <v>27</v>
      </c>
      <c r="G45" s="8"/>
    </row>
    <row r="46" spans="1:8" x14ac:dyDescent="0.25">
      <c r="B46" s="1" t="s">
        <v>29</v>
      </c>
      <c r="D46" s="52">
        <f>+'New Year-Full Year'!G46</f>
        <v>5200</v>
      </c>
      <c r="E46" s="47">
        <v>4000</v>
      </c>
      <c r="F46" s="64">
        <f t="shared" ref="F46:F49" si="7">+D46-E46</f>
        <v>1200</v>
      </c>
      <c r="G46" s="7">
        <f t="shared" ref="G46:G50" si="8">IF(E46=0,"NA",(+D46-E46)/E46)</f>
        <v>0.3</v>
      </c>
    </row>
    <row r="47" spans="1:8" x14ac:dyDescent="0.25">
      <c r="B47" s="1" t="s">
        <v>30</v>
      </c>
      <c r="D47" s="52">
        <f>+'New Year-Full Year'!G47</f>
        <v>1300</v>
      </c>
      <c r="E47" s="47">
        <f>ROUND(52*50,0)</f>
        <v>2600</v>
      </c>
      <c r="F47" s="64">
        <f t="shared" si="7"/>
        <v>-1300</v>
      </c>
      <c r="G47" s="7">
        <f t="shared" si="8"/>
        <v>-0.5</v>
      </c>
    </row>
    <row r="48" spans="1:8" x14ac:dyDescent="0.25">
      <c r="B48" s="1" t="s">
        <v>31</v>
      </c>
      <c r="D48" s="52">
        <f>+'New Year-Full Year'!G48</f>
        <v>800</v>
      </c>
      <c r="E48" s="47">
        <v>1500</v>
      </c>
      <c r="F48" s="64">
        <f t="shared" si="7"/>
        <v>-700</v>
      </c>
      <c r="G48" s="7">
        <f t="shared" si="8"/>
        <v>-0.46666666666666667</v>
      </c>
      <c r="H48" s="46" t="s">
        <v>155</v>
      </c>
    </row>
    <row r="49" spans="1:8" x14ac:dyDescent="0.25">
      <c r="B49" s="1" t="s">
        <v>32</v>
      </c>
      <c r="D49" s="52">
        <f>+'New Year-Full Year'!G49</f>
        <v>200</v>
      </c>
      <c r="E49" s="47">
        <v>500</v>
      </c>
      <c r="F49" s="64">
        <f t="shared" si="7"/>
        <v>-300</v>
      </c>
      <c r="G49" s="7">
        <f t="shared" si="8"/>
        <v>-0.6</v>
      </c>
      <c r="H49" s="46" t="s">
        <v>155</v>
      </c>
    </row>
    <row r="50" spans="1:8" s="5" customFormat="1" x14ac:dyDescent="0.25">
      <c r="A50" s="27" t="s">
        <v>28</v>
      </c>
      <c r="B50" s="27"/>
      <c r="C50" s="27"/>
      <c r="D50" s="27">
        <f>SUM(D46:D49)</f>
        <v>7500</v>
      </c>
      <c r="E50" s="56">
        <f>SUM(E46:E49)</f>
        <v>8600</v>
      </c>
      <c r="F50" s="56">
        <f>SUM(F46:F49)</f>
        <v>-1100</v>
      </c>
      <c r="G50" s="28">
        <f t="shared" si="8"/>
        <v>-0.12790697674418605</v>
      </c>
      <c r="H50" s="14"/>
    </row>
    <row r="51" spans="1:8" ht="6.75" customHeight="1" x14ac:dyDescent="0.25">
      <c r="G51" s="8"/>
    </row>
    <row r="52" spans="1:8" x14ac:dyDescent="0.25">
      <c r="A52" s="5" t="s">
        <v>33</v>
      </c>
      <c r="G52" s="8"/>
    </row>
    <row r="53" spans="1:8" x14ac:dyDescent="0.25">
      <c r="B53" s="1" t="s">
        <v>34</v>
      </c>
      <c r="D53" s="52">
        <f>+'New Year-Full Year'!G53</f>
        <v>8000</v>
      </c>
      <c r="E53" s="47">
        <v>5000</v>
      </c>
      <c r="F53" s="64">
        <f t="shared" ref="F53:F55" si="9">+D53-E53</f>
        <v>3000</v>
      </c>
      <c r="G53" s="7">
        <f t="shared" ref="G53:G56" si="10">IF(E53=0,"NA",(+D53-E53)/E53)</f>
        <v>0.6</v>
      </c>
    </row>
    <row r="54" spans="1:8" x14ac:dyDescent="0.25">
      <c r="B54" s="1" t="s">
        <v>143</v>
      </c>
      <c r="D54" s="52">
        <f>+'New Year-Full Year'!G54</f>
        <v>0</v>
      </c>
      <c r="E54" s="47">
        <v>2000</v>
      </c>
      <c r="F54" s="64">
        <f t="shared" si="9"/>
        <v>-2000</v>
      </c>
      <c r="G54" s="7">
        <f t="shared" si="10"/>
        <v>-1</v>
      </c>
    </row>
    <row r="55" spans="1:8" x14ac:dyDescent="0.25">
      <c r="B55" s="1" t="s">
        <v>146</v>
      </c>
      <c r="D55" s="52">
        <f>+'New Year-Full Year'!G55</f>
        <v>150</v>
      </c>
      <c r="E55" s="47">
        <v>600</v>
      </c>
      <c r="F55" s="64">
        <f t="shared" si="9"/>
        <v>-450</v>
      </c>
      <c r="G55" s="7">
        <f t="shared" si="10"/>
        <v>-0.75</v>
      </c>
      <c r="H55" s="46" t="s">
        <v>155</v>
      </c>
    </row>
    <row r="56" spans="1:8" s="5" customFormat="1" x14ac:dyDescent="0.25">
      <c r="A56" s="27" t="s">
        <v>35</v>
      </c>
      <c r="B56" s="27"/>
      <c r="C56" s="27"/>
      <c r="D56" s="27">
        <f>SUM(D53:D55)</f>
        <v>8150</v>
      </c>
      <c r="E56" s="56">
        <f>SUM(E53:E55)</f>
        <v>7600</v>
      </c>
      <c r="F56" s="56">
        <f>SUM(F53:F55)</f>
        <v>550</v>
      </c>
      <c r="G56" s="28">
        <f t="shared" si="10"/>
        <v>7.2368421052631582E-2</v>
      </c>
      <c r="H56" s="14"/>
    </row>
    <row r="57" spans="1:8" ht="6.75" customHeight="1" x14ac:dyDescent="0.25">
      <c r="G57" s="8"/>
    </row>
    <row r="58" spans="1:8" x14ac:dyDescent="0.25">
      <c r="A58" s="5" t="s">
        <v>141</v>
      </c>
      <c r="G58" s="8"/>
    </row>
    <row r="59" spans="1:8" x14ac:dyDescent="0.25">
      <c r="B59" s="1" t="s">
        <v>144</v>
      </c>
      <c r="D59" s="52">
        <f>+'New Year-Full Year'!G59</f>
        <v>300</v>
      </c>
      <c r="E59" s="47">
        <v>400</v>
      </c>
      <c r="F59" s="64">
        <f t="shared" ref="F59:F60" si="11">+D59-E59</f>
        <v>-100</v>
      </c>
      <c r="G59" s="7">
        <f t="shared" ref="G59:G61" si="12">IF(E59=0,"NA",(+D59-E59)/E59)</f>
        <v>-0.25</v>
      </c>
      <c r="H59" s="46" t="s">
        <v>155</v>
      </c>
    </row>
    <row r="60" spans="1:8" x14ac:dyDescent="0.25">
      <c r="B60" s="1" t="s">
        <v>128</v>
      </c>
      <c r="D60" s="52">
        <f>+'New Year-Full Year'!G60</f>
        <v>300</v>
      </c>
      <c r="E60" s="47">
        <v>500</v>
      </c>
      <c r="F60" s="64">
        <f t="shared" si="11"/>
        <v>-200</v>
      </c>
      <c r="G60" s="7">
        <f t="shared" si="12"/>
        <v>-0.4</v>
      </c>
    </row>
    <row r="61" spans="1:8" s="5" customFormat="1" x14ac:dyDescent="0.25">
      <c r="A61" s="27" t="s">
        <v>127</v>
      </c>
      <c r="B61" s="27"/>
      <c r="C61" s="27"/>
      <c r="D61" s="27">
        <f>SUM(D59:D60)</f>
        <v>600</v>
      </c>
      <c r="E61" s="56">
        <f>SUM(E59:E60)</f>
        <v>900</v>
      </c>
      <c r="F61" s="56">
        <f>SUM(F59:F60)</f>
        <v>-300</v>
      </c>
      <c r="G61" s="28">
        <f t="shared" si="12"/>
        <v>-0.33333333333333331</v>
      </c>
      <c r="H61" s="14"/>
    </row>
    <row r="62" spans="1:8" ht="5.25" customHeight="1" x14ac:dyDescent="0.25">
      <c r="G62" s="8"/>
    </row>
    <row r="63" spans="1:8" x14ac:dyDescent="0.25">
      <c r="A63" s="27" t="s">
        <v>36</v>
      </c>
      <c r="B63" s="30"/>
      <c r="C63" s="30"/>
      <c r="D63" s="51">
        <f>+'New Year-Full Year'!G63</f>
        <v>200</v>
      </c>
      <c r="E63" s="58">
        <v>200</v>
      </c>
      <c r="F63" s="56">
        <f>+D63-E63</f>
        <v>0</v>
      </c>
      <c r="G63" s="28">
        <f>IF(E63=0,"NA",(+D63-E63)/E63)</f>
        <v>0</v>
      </c>
    </row>
    <row r="64" spans="1:8" ht="6" customHeight="1" x14ac:dyDescent="0.25">
      <c r="G64" s="8"/>
    </row>
    <row r="65" spans="1:8" x14ac:dyDescent="0.25">
      <c r="A65" s="5" t="s">
        <v>37</v>
      </c>
      <c r="G65" s="8"/>
    </row>
    <row r="66" spans="1:8" x14ac:dyDescent="0.25">
      <c r="B66" s="1" t="s">
        <v>38</v>
      </c>
      <c r="D66" s="52">
        <f>+'New Year-Full Year'!G66</f>
        <v>300</v>
      </c>
      <c r="E66" s="47">
        <v>600</v>
      </c>
      <c r="F66" s="64">
        <f t="shared" ref="F66:F70" si="13">+D66-E66</f>
        <v>-300</v>
      </c>
      <c r="G66" s="7">
        <f t="shared" ref="G66:G71" si="14">IF(E66=0,"NA",(+D66-E66)/E66)</f>
        <v>-0.5</v>
      </c>
    </row>
    <row r="67" spans="1:8" x14ac:dyDescent="0.25">
      <c r="B67" s="1" t="s">
        <v>39</v>
      </c>
      <c r="D67" s="52">
        <f>+'New Year-Full Year'!G67</f>
        <v>800</v>
      </c>
      <c r="E67" s="47">
        <v>1000</v>
      </c>
      <c r="F67" s="64">
        <f t="shared" si="13"/>
        <v>-200</v>
      </c>
      <c r="G67" s="7">
        <f t="shared" si="14"/>
        <v>-0.2</v>
      </c>
    </row>
    <row r="68" spans="1:8" x14ac:dyDescent="0.25">
      <c r="B68" s="1" t="s">
        <v>40</v>
      </c>
      <c r="D68" s="52">
        <f>+'New Year-Full Year'!G68</f>
        <v>700</v>
      </c>
      <c r="E68" s="47">
        <v>700</v>
      </c>
      <c r="F68" s="64">
        <f t="shared" si="13"/>
        <v>0</v>
      </c>
      <c r="G68" s="7">
        <f t="shared" si="14"/>
        <v>0</v>
      </c>
    </row>
    <row r="69" spans="1:8" x14ac:dyDescent="0.25">
      <c r="B69" s="1" t="s">
        <v>41</v>
      </c>
      <c r="D69" s="52">
        <f>+'New Year-Full Year'!G69</f>
        <v>500</v>
      </c>
      <c r="E69" s="47">
        <v>800</v>
      </c>
      <c r="F69" s="64">
        <f t="shared" si="13"/>
        <v>-300</v>
      </c>
      <c r="G69" s="7">
        <f t="shared" si="14"/>
        <v>-0.375</v>
      </c>
    </row>
    <row r="70" spans="1:8" x14ac:dyDescent="0.25">
      <c r="B70" s="1" t="s">
        <v>42</v>
      </c>
      <c r="D70" s="52">
        <f>+'New Year-Full Year'!G70</f>
        <v>800</v>
      </c>
      <c r="E70" s="47">
        <v>800</v>
      </c>
      <c r="F70" s="64">
        <f t="shared" si="13"/>
        <v>0</v>
      </c>
      <c r="G70" s="7">
        <f t="shared" si="14"/>
        <v>0</v>
      </c>
    </row>
    <row r="71" spans="1:8" s="5" customFormat="1" x14ac:dyDescent="0.25">
      <c r="A71" s="27" t="s">
        <v>43</v>
      </c>
      <c r="B71" s="27"/>
      <c r="C71" s="27"/>
      <c r="D71" s="27">
        <f>SUM(D66:D70)</f>
        <v>3100</v>
      </c>
      <c r="E71" s="56">
        <f>SUM(E66:E70)</f>
        <v>3900</v>
      </c>
      <c r="F71" s="56">
        <f>SUM(F66:F70)</f>
        <v>-800</v>
      </c>
      <c r="G71" s="28">
        <f t="shared" si="14"/>
        <v>-0.20512820512820512</v>
      </c>
      <c r="H71" s="14"/>
    </row>
    <row r="72" spans="1:8" ht="6" customHeight="1" x14ac:dyDescent="0.25">
      <c r="G72" s="8"/>
    </row>
    <row r="73" spans="1:8" x14ac:dyDescent="0.25">
      <c r="A73" s="5" t="s">
        <v>44</v>
      </c>
      <c r="G73" s="8"/>
    </row>
    <row r="74" spans="1:8" x14ac:dyDescent="0.25">
      <c r="B74" s="1" t="s">
        <v>45</v>
      </c>
      <c r="D74" s="52">
        <f>+'New Year-Full Year'!G74</f>
        <v>5200</v>
      </c>
      <c r="E74" s="47">
        <v>6000</v>
      </c>
      <c r="F74" s="64">
        <f t="shared" ref="F74:F80" si="15">+D74-E74</f>
        <v>-800</v>
      </c>
      <c r="G74" s="7">
        <f t="shared" ref="G74:G82" si="16">IF(E74=0,"NA",(+D74-E74)/E74)</f>
        <v>-0.13333333333333333</v>
      </c>
    </row>
    <row r="75" spans="1:8" x14ac:dyDescent="0.25">
      <c r="B75" s="1" t="s">
        <v>46</v>
      </c>
      <c r="D75" s="52">
        <f>+'New Year-Full Year'!G75</f>
        <v>4500</v>
      </c>
      <c r="E75" s="47">
        <v>5500</v>
      </c>
      <c r="F75" s="64">
        <f t="shared" si="15"/>
        <v>-1000</v>
      </c>
      <c r="G75" s="7">
        <f t="shared" si="16"/>
        <v>-0.18181818181818182</v>
      </c>
    </row>
    <row r="76" spans="1:8" x14ac:dyDescent="0.25">
      <c r="B76" s="1" t="s">
        <v>145</v>
      </c>
      <c r="D76" s="52">
        <f>+'New Year-Full Year'!G76</f>
        <v>500</v>
      </c>
      <c r="E76" s="47">
        <v>500</v>
      </c>
      <c r="F76" s="64">
        <f t="shared" si="15"/>
        <v>0</v>
      </c>
      <c r="G76" s="7">
        <f t="shared" si="16"/>
        <v>0</v>
      </c>
    </row>
    <row r="77" spans="1:8" x14ac:dyDescent="0.25">
      <c r="B77" s="1" t="s">
        <v>47</v>
      </c>
      <c r="D77" s="52">
        <f>+'New Year-Full Year'!G77</f>
        <v>0</v>
      </c>
      <c r="E77" s="47">
        <v>400</v>
      </c>
      <c r="F77" s="64">
        <f t="shared" si="15"/>
        <v>-400</v>
      </c>
      <c r="G77" s="7">
        <f t="shared" si="16"/>
        <v>-1</v>
      </c>
      <c r="H77" s="46" t="s">
        <v>155</v>
      </c>
    </row>
    <row r="78" spans="1:8" x14ac:dyDescent="0.25">
      <c r="B78" s="1" t="s">
        <v>48</v>
      </c>
      <c r="D78" s="52">
        <f>+'New Year-Full Year'!G78</f>
        <v>19000</v>
      </c>
      <c r="E78" s="47">
        <v>18000</v>
      </c>
      <c r="F78" s="64">
        <f t="shared" si="15"/>
        <v>1000</v>
      </c>
      <c r="G78" s="7">
        <f t="shared" si="16"/>
        <v>5.5555555555555552E-2</v>
      </c>
    </row>
    <row r="79" spans="1:8" x14ac:dyDescent="0.25">
      <c r="B79" s="1" t="s">
        <v>49</v>
      </c>
      <c r="D79" s="52">
        <f>+'New Year-Full Year'!G79</f>
        <v>825</v>
      </c>
      <c r="E79" s="47">
        <v>1000</v>
      </c>
      <c r="F79" s="64">
        <f t="shared" si="15"/>
        <v>-175</v>
      </c>
      <c r="G79" s="7">
        <f t="shared" si="16"/>
        <v>-0.17499999999999999</v>
      </c>
    </row>
    <row r="80" spans="1:8" x14ac:dyDescent="0.25">
      <c r="B80" s="1" t="s">
        <v>50</v>
      </c>
      <c r="D80" s="52">
        <f>+'New Year-Full Year'!G80</f>
        <v>1600</v>
      </c>
      <c r="E80" s="47">
        <v>1000</v>
      </c>
      <c r="F80" s="64">
        <f t="shared" si="15"/>
        <v>600</v>
      </c>
      <c r="G80" s="7">
        <f t="shared" si="16"/>
        <v>0.6</v>
      </c>
    </row>
    <row r="81" spans="1:8" s="5" customFormat="1" x14ac:dyDescent="0.25">
      <c r="A81" s="27" t="s">
        <v>53</v>
      </c>
      <c r="B81" s="27"/>
      <c r="C81" s="27"/>
      <c r="D81" s="27">
        <f>SUM(D74:D80)</f>
        <v>31625</v>
      </c>
      <c r="E81" s="56">
        <f>SUM(E74:E80)</f>
        <v>32400</v>
      </c>
      <c r="F81" s="56">
        <f>SUM(F74:F80)</f>
        <v>-775</v>
      </c>
      <c r="G81" s="28">
        <f t="shared" si="16"/>
        <v>-2.3919753086419752E-2</v>
      </c>
      <c r="H81" s="14"/>
    </row>
    <row r="82" spans="1:8" x14ac:dyDescent="0.25">
      <c r="A82" s="27" t="s">
        <v>126</v>
      </c>
      <c r="B82" s="32"/>
      <c r="C82" s="32"/>
      <c r="D82" s="27">
        <f>+D41+D43+D50+D56+D63+D71+D81+D61</f>
        <v>58575</v>
      </c>
      <c r="E82" s="56">
        <f>+E41+E43+E50+E56+E63+E71+E81+E61</f>
        <v>61900</v>
      </c>
      <c r="F82" s="56">
        <f>+F41+F43+F50+F56+F63+F71+F81+F61</f>
        <v>-3325</v>
      </c>
      <c r="G82" s="28">
        <f t="shared" si="16"/>
        <v>-5.3715670436187399E-2</v>
      </c>
    </row>
    <row r="83" spans="1:8" ht="8.25" customHeight="1" x14ac:dyDescent="0.25">
      <c r="G83" s="8"/>
    </row>
    <row r="84" spans="1:8" ht="18.75" x14ac:dyDescent="0.25">
      <c r="A84" s="11" t="s">
        <v>51</v>
      </c>
      <c r="G84" s="8"/>
    </row>
    <row r="85" spans="1:8" x14ac:dyDescent="0.25">
      <c r="A85" s="5" t="s">
        <v>52</v>
      </c>
      <c r="D85" s="45"/>
      <c r="E85" s="59"/>
      <c r="F85" s="59"/>
      <c r="G85" s="8"/>
    </row>
    <row r="86" spans="1:8" ht="30" x14ac:dyDescent="0.25">
      <c r="B86" s="1" t="s">
        <v>54</v>
      </c>
      <c r="D86" s="52">
        <f>+'New Year-Full Year'!G86</f>
        <v>83079</v>
      </c>
      <c r="E86" s="47">
        <v>90627.4</v>
      </c>
      <c r="F86" s="64">
        <f t="shared" ref="F86:F90" si="17">+D86-E86</f>
        <v>-7548.3999999999942</v>
      </c>
      <c r="G86" s="7">
        <f t="shared" ref="G86:G91" si="18">IF(E86=0,"NA",(+D86-E86)/E86)</f>
        <v>-8.3290483893392012E-2</v>
      </c>
      <c r="H86" s="46" t="s">
        <v>157</v>
      </c>
    </row>
    <row r="87" spans="1:8" x14ac:dyDescent="0.25">
      <c r="B87" s="1" t="s">
        <v>55</v>
      </c>
      <c r="D87" s="52">
        <f>+'New Year-Full Year'!G87</f>
        <v>2750</v>
      </c>
      <c r="E87" s="47">
        <v>5500</v>
      </c>
      <c r="F87" s="64">
        <f t="shared" si="17"/>
        <v>-2750</v>
      </c>
      <c r="G87" s="7">
        <f t="shared" si="18"/>
        <v>-0.5</v>
      </c>
    </row>
    <row r="88" spans="1:8" ht="30" x14ac:dyDescent="0.25">
      <c r="B88" s="1" t="s">
        <v>56</v>
      </c>
      <c r="D88" s="52">
        <f>+'New Year-Full Year'!G88</f>
        <v>34801</v>
      </c>
      <c r="E88" s="47">
        <v>34340</v>
      </c>
      <c r="F88" s="64">
        <f t="shared" si="17"/>
        <v>461</v>
      </c>
      <c r="G88" s="7">
        <f t="shared" si="18"/>
        <v>1.3424577751892836E-2</v>
      </c>
      <c r="H88" s="46" t="s">
        <v>158</v>
      </c>
    </row>
    <row r="89" spans="1:8" x14ac:dyDescent="0.25">
      <c r="B89" s="1" t="s">
        <v>57</v>
      </c>
      <c r="D89" s="52">
        <f>+'New Year-Full Year'!G89</f>
        <v>3666</v>
      </c>
      <c r="E89" s="47">
        <v>4000</v>
      </c>
      <c r="F89" s="64">
        <f t="shared" si="17"/>
        <v>-334</v>
      </c>
      <c r="G89" s="7">
        <f t="shared" si="18"/>
        <v>-8.3500000000000005E-2</v>
      </c>
    </row>
    <row r="90" spans="1:8" x14ac:dyDescent="0.25">
      <c r="B90" s="1" t="s">
        <v>58</v>
      </c>
      <c r="D90" s="52">
        <f>+'New Year-Full Year'!G90</f>
        <v>2750</v>
      </c>
      <c r="E90" s="47">
        <v>3000</v>
      </c>
      <c r="F90" s="64">
        <f t="shared" si="17"/>
        <v>-250</v>
      </c>
      <c r="G90" s="7">
        <f t="shared" si="18"/>
        <v>-8.3333333333333329E-2</v>
      </c>
    </row>
    <row r="91" spans="1:8" s="5" customFormat="1" x14ac:dyDescent="0.25">
      <c r="A91" s="33" t="s">
        <v>59</v>
      </c>
      <c r="B91" s="33"/>
      <c r="C91" s="33"/>
      <c r="D91" s="33">
        <f>SUM(D86:D90)</f>
        <v>127046</v>
      </c>
      <c r="E91" s="60">
        <f>SUM(E86:E90)</f>
        <v>137467.4</v>
      </c>
      <c r="F91" s="60">
        <f>SUM(F86:F90)</f>
        <v>-10421.399999999994</v>
      </c>
      <c r="G91" s="34">
        <f t="shared" si="18"/>
        <v>-7.580997385561955E-2</v>
      </c>
      <c r="H91" s="14"/>
    </row>
    <row r="92" spans="1:8" ht="6.75" customHeight="1" x14ac:dyDescent="0.25">
      <c r="G92" s="8"/>
    </row>
    <row r="93" spans="1:8" x14ac:dyDescent="0.25">
      <c r="A93" s="5" t="s">
        <v>60</v>
      </c>
      <c r="G93" s="8"/>
    </row>
    <row r="94" spans="1:8" ht="30" x14ac:dyDescent="0.25">
      <c r="B94" s="1" t="s">
        <v>61</v>
      </c>
      <c r="D94" s="52">
        <f>+'New Year-Full Year'!G94</f>
        <v>11507.039999999999</v>
      </c>
      <c r="E94" s="47">
        <v>11420</v>
      </c>
      <c r="F94" s="64">
        <f t="shared" ref="F94:F95" si="19">+D94-E94</f>
        <v>87.039999999999054</v>
      </c>
      <c r="G94" s="7">
        <f t="shared" ref="G94:G96" si="20">IF(E94=0,"NA",(+D94-E94)/E94)</f>
        <v>7.6217162872153285E-3</v>
      </c>
      <c r="H94" s="46" t="s">
        <v>157</v>
      </c>
    </row>
    <row r="95" spans="1:8" x14ac:dyDescent="0.25">
      <c r="B95" s="1" t="s">
        <v>62</v>
      </c>
      <c r="D95" s="52">
        <f>+'New Year-Full Year'!G95</f>
        <v>5000</v>
      </c>
      <c r="E95" s="47">
        <v>5000</v>
      </c>
      <c r="F95" s="64">
        <f t="shared" si="19"/>
        <v>0</v>
      </c>
      <c r="G95" s="7">
        <f t="shared" si="20"/>
        <v>0</v>
      </c>
    </row>
    <row r="96" spans="1:8" s="5" customFormat="1" x14ac:dyDescent="0.25">
      <c r="A96" s="33" t="s">
        <v>63</v>
      </c>
      <c r="B96" s="33"/>
      <c r="C96" s="33"/>
      <c r="D96" s="33">
        <f>SUM(D94:D95)</f>
        <v>16507.04</v>
      </c>
      <c r="E96" s="60">
        <f>SUM(E94:E95)</f>
        <v>16420</v>
      </c>
      <c r="F96" s="60">
        <f>SUM(F94:F95)</f>
        <v>87.039999999999054</v>
      </c>
      <c r="G96" s="34">
        <f t="shared" si="20"/>
        <v>5.3008526187576658E-3</v>
      </c>
      <c r="H96" s="14"/>
    </row>
    <row r="97" spans="1:8" ht="4.5" customHeight="1" x14ac:dyDescent="0.25">
      <c r="G97" s="8"/>
    </row>
    <row r="98" spans="1:8" x14ac:dyDescent="0.25">
      <c r="A98" s="5" t="s">
        <v>64</v>
      </c>
      <c r="G98" s="8"/>
    </row>
    <row r="99" spans="1:8" ht="30" x14ac:dyDescent="0.25">
      <c r="B99" s="1" t="s">
        <v>61</v>
      </c>
      <c r="D99" s="52">
        <f>+'New Year-Full Year'!G99</f>
        <v>13926.96</v>
      </c>
      <c r="E99" s="47">
        <v>13662</v>
      </c>
      <c r="F99" s="64">
        <f t="shared" ref="F99:F100" si="21">+D99-E99</f>
        <v>264.95999999999913</v>
      </c>
      <c r="G99" s="7">
        <f t="shared" ref="G99:G101" si="22">IF(E99=0,"NA",(+D99-E99)/E99)</f>
        <v>1.9393939393939331E-2</v>
      </c>
      <c r="H99" s="46" t="s">
        <v>157</v>
      </c>
    </row>
    <row r="100" spans="1:8" x14ac:dyDescent="0.25">
      <c r="B100" s="1" t="s">
        <v>65</v>
      </c>
      <c r="D100" s="52">
        <f>+'New Year-Full Year'!G100</f>
        <v>750</v>
      </c>
      <c r="E100" s="47">
        <v>750</v>
      </c>
      <c r="F100" s="64">
        <f t="shared" si="21"/>
        <v>0</v>
      </c>
      <c r="G100" s="7">
        <f t="shared" si="22"/>
        <v>0</v>
      </c>
    </row>
    <row r="101" spans="1:8" s="5" customFormat="1" x14ac:dyDescent="0.25">
      <c r="A101" s="33" t="s">
        <v>66</v>
      </c>
      <c r="B101" s="33"/>
      <c r="C101" s="33"/>
      <c r="D101" s="33">
        <f>SUM(D99:D100)</f>
        <v>14676.96</v>
      </c>
      <c r="E101" s="60">
        <f>SUM(E99:E100)</f>
        <v>14412</v>
      </c>
      <c r="F101" s="60">
        <f>SUM(F99:F100)</f>
        <v>264.95999999999913</v>
      </c>
      <c r="G101" s="34">
        <f t="shared" si="22"/>
        <v>1.83846794338051E-2</v>
      </c>
      <c r="H101" s="14"/>
    </row>
    <row r="102" spans="1:8" ht="6" customHeight="1" x14ac:dyDescent="0.25">
      <c r="G102" s="8"/>
    </row>
    <row r="103" spans="1:8" x14ac:dyDescent="0.25">
      <c r="A103" s="5" t="s">
        <v>67</v>
      </c>
      <c r="G103" s="8"/>
    </row>
    <row r="104" spans="1:8" x14ac:dyDescent="0.25">
      <c r="B104" s="1" t="s">
        <v>61</v>
      </c>
      <c r="D104" s="52">
        <f>+'New Year-Full Year'!G104</f>
        <v>36397</v>
      </c>
      <c r="E104" s="47">
        <v>34954</v>
      </c>
      <c r="F104" s="64">
        <f t="shared" ref="F104:F109" si="23">+D104-E104</f>
        <v>1443</v>
      </c>
      <c r="G104" s="7">
        <f t="shared" ref="G104:G110" si="24">IF(E104=0,"NA",(+D104-E104)/E104)</f>
        <v>4.1282828860788462E-2</v>
      </c>
    </row>
    <row r="105" spans="1:8" x14ac:dyDescent="0.25">
      <c r="B105" s="1" t="s">
        <v>56</v>
      </c>
      <c r="D105" s="52">
        <f>+'New Year-Full Year'!G105</f>
        <v>4550</v>
      </c>
      <c r="E105" s="47">
        <v>4999</v>
      </c>
      <c r="F105" s="64">
        <f t="shared" si="23"/>
        <v>-449</v>
      </c>
      <c r="G105" s="7">
        <f t="shared" si="24"/>
        <v>-8.9817963592718542E-2</v>
      </c>
    </row>
    <row r="106" spans="1:8" x14ac:dyDescent="0.25">
      <c r="B106" s="1" t="s">
        <v>58</v>
      </c>
      <c r="D106" s="52">
        <f>+'New Year-Full Year'!G106</f>
        <v>750</v>
      </c>
      <c r="E106" s="47">
        <v>750</v>
      </c>
      <c r="F106" s="64">
        <f t="shared" si="23"/>
        <v>0</v>
      </c>
      <c r="G106" s="7">
        <f t="shared" si="24"/>
        <v>0</v>
      </c>
    </row>
    <row r="107" spans="1:8" x14ac:dyDescent="0.25">
      <c r="B107" s="1" t="s">
        <v>57</v>
      </c>
      <c r="D107" s="52">
        <f>+'New Year-Full Year'!G107</f>
        <v>2000</v>
      </c>
      <c r="E107" s="47">
        <v>2000</v>
      </c>
      <c r="F107" s="64">
        <f t="shared" si="23"/>
        <v>0</v>
      </c>
      <c r="G107" s="7">
        <f t="shared" si="24"/>
        <v>0</v>
      </c>
    </row>
    <row r="108" spans="1:8" x14ac:dyDescent="0.25">
      <c r="B108" s="1" t="s">
        <v>62</v>
      </c>
      <c r="D108" s="52">
        <f>+'New Year-Full Year'!G108</f>
        <v>1500</v>
      </c>
      <c r="E108" s="47">
        <v>1500</v>
      </c>
      <c r="F108" s="64">
        <f t="shared" si="23"/>
        <v>0</v>
      </c>
      <c r="G108" s="7">
        <f t="shared" si="24"/>
        <v>0</v>
      </c>
    </row>
    <row r="109" spans="1:8" x14ac:dyDescent="0.25">
      <c r="B109" s="1" t="s">
        <v>68</v>
      </c>
      <c r="D109" s="52">
        <f>+'New Year-Full Year'!G109</f>
        <v>1298</v>
      </c>
      <c r="E109" s="47">
        <v>1116</v>
      </c>
      <c r="F109" s="64">
        <f t="shared" si="23"/>
        <v>182</v>
      </c>
      <c r="G109" s="7">
        <f t="shared" si="24"/>
        <v>0.16308243727598568</v>
      </c>
    </row>
    <row r="110" spans="1:8" s="5" customFormat="1" x14ac:dyDescent="0.25">
      <c r="A110" s="33" t="s">
        <v>69</v>
      </c>
      <c r="B110" s="33"/>
      <c r="C110" s="33"/>
      <c r="D110" s="33">
        <f>SUM(D104:D109)</f>
        <v>46495</v>
      </c>
      <c r="E110" s="60">
        <f>SUM(E104:E109)</f>
        <v>45319</v>
      </c>
      <c r="F110" s="60">
        <f>SUM(F104:F109)</f>
        <v>1176</v>
      </c>
      <c r="G110" s="34">
        <f t="shared" si="24"/>
        <v>2.5949381054303933E-2</v>
      </c>
      <c r="H110" s="14"/>
    </row>
    <row r="111" spans="1:8" ht="6" customHeight="1" x14ac:dyDescent="0.25">
      <c r="G111" s="8"/>
    </row>
    <row r="112" spans="1:8" x14ac:dyDescent="0.25">
      <c r="A112" s="5" t="s">
        <v>70</v>
      </c>
      <c r="G112" s="8"/>
    </row>
    <row r="113" spans="1:10" ht="30" x14ac:dyDescent="0.25">
      <c r="B113" s="1" t="s">
        <v>71</v>
      </c>
      <c r="D113" s="52">
        <f>+'New Year-Full Year'!G113</f>
        <v>9580</v>
      </c>
      <c r="E113" s="47">
        <v>9676</v>
      </c>
      <c r="F113" s="64">
        <f t="shared" ref="F113:F118" si="25">+D113-E113</f>
        <v>-96</v>
      </c>
      <c r="G113" s="7">
        <f t="shared" ref="G113:G119" si="26">IF(E113=0,"NA",(+D113-E113)/E113)</f>
        <v>-9.9214551467548574E-3</v>
      </c>
      <c r="H113" s="46" t="s">
        <v>157</v>
      </c>
    </row>
    <row r="114" spans="1:10" x14ac:dyDescent="0.25">
      <c r="B114" s="1" t="s">
        <v>72</v>
      </c>
      <c r="D114" s="52">
        <f>+'New Year-Full Year'!G114</f>
        <v>500</v>
      </c>
      <c r="E114" s="47">
        <v>500</v>
      </c>
      <c r="F114" s="64">
        <f t="shared" si="25"/>
        <v>0</v>
      </c>
      <c r="G114" s="7">
        <f t="shared" si="26"/>
        <v>0</v>
      </c>
    </row>
    <row r="115" spans="1:10" ht="30" x14ac:dyDescent="0.25">
      <c r="B115" s="1" t="s">
        <v>73</v>
      </c>
      <c r="D115" s="52">
        <f>+'New Year-Full Year'!G115</f>
        <v>18152</v>
      </c>
      <c r="E115" s="47">
        <v>17974</v>
      </c>
      <c r="F115" s="64">
        <f t="shared" si="25"/>
        <v>178</v>
      </c>
      <c r="G115" s="7">
        <f t="shared" si="26"/>
        <v>9.9031935017247132E-3</v>
      </c>
      <c r="H115" s="46" t="s">
        <v>157</v>
      </c>
    </row>
    <row r="116" spans="1:10" ht="30" x14ac:dyDescent="0.25">
      <c r="B116" s="1" t="s">
        <v>74</v>
      </c>
      <c r="D116" s="52">
        <f>+'New Year-Full Year'!G116</f>
        <v>6713</v>
      </c>
      <c r="E116" s="47">
        <v>6647</v>
      </c>
      <c r="F116" s="64">
        <f t="shared" si="25"/>
        <v>66</v>
      </c>
      <c r="G116" s="7">
        <f t="shared" si="26"/>
        <v>9.9292914096584927E-3</v>
      </c>
      <c r="H116" s="46" t="s">
        <v>157</v>
      </c>
    </row>
    <row r="117" spans="1:10" ht="30" x14ac:dyDescent="0.25">
      <c r="B117" s="1" t="s">
        <v>75</v>
      </c>
      <c r="D117" s="52">
        <f>+'New Year-Full Year'!G117</f>
        <v>1698</v>
      </c>
      <c r="E117" s="47">
        <v>1715</v>
      </c>
      <c r="F117" s="64">
        <f t="shared" si="25"/>
        <v>-17</v>
      </c>
      <c r="G117" s="7">
        <f t="shared" si="26"/>
        <v>-9.9125364431486875E-3</v>
      </c>
      <c r="H117" s="46" t="s">
        <v>157</v>
      </c>
    </row>
    <row r="118" spans="1:10" x14ac:dyDescent="0.25">
      <c r="B118" s="1" t="s">
        <v>76</v>
      </c>
      <c r="D118" s="52">
        <f>+'New Year-Full Year'!G118</f>
        <v>2400</v>
      </c>
      <c r="E118" s="47">
        <v>2500</v>
      </c>
      <c r="F118" s="64">
        <f t="shared" si="25"/>
        <v>-100</v>
      </c>
      <c r="G118" s="7">
        <f t="shared" si="26"/>
        <v>-0.04</v>
      </c>
      <c r="H118" s="46" t="s">
        <v>155</v>
      </c>
    </row>
    <row r="119" spans="1:10" s="5" customFormat="1" x14ac:dyDescent="0.25">
      <c r="A119" s="33" t="s">
        <v>77</v>
      </c>
      <c r="B119" s="33"/>
      <c r="C119" s="33"/>
      <c r="D119" s="33">
        <f>SUM(D113:D118)</f>
        <v>39043</v>
      </c>
      <c r="E119" s="60">
        <f>SUM(E113:E118)</f>
        <v>39012</v>
      </c>
      <c r="F119" s="60">
        <f>SUM(F113:F118)</f>
        <v>31</v>
      </c>
      <c r="G119" s="34">
        <f t="shared" si="26"/>
        <v>7.946272941658977E-4</v>
      </c>
      <c r="H119" s="14"/>
    </row>
    <row r="120" spans="1:10" ht="6.75" customHeight="1" x14ac:dyDescent="0.25">
      <c r="G120" s="8"/>
    </row>
    <row r="121" spans="1:10" x14ac:dyDescent="0.25">
      <c r="A121" s="5" t="s">
        <v>78</v>
      </c>
      <c r="G121" s="8"/>
    </row>
    <row r="122" spans="1:10" ht="30" x14ac:dyDescent="0.25">
      <c r="B122" s="1" t="s">
        <v>147</v>
      </c>
      <c r="D122" s="52">
        <f>+'New Year-Full Year'!G122</f>
        <v>12375</v>
      </c>
      <c r="E122" s="47">
        <v>12417</v>
      </c>
      <c r="F122" s="64">
        <f t="shared" ref="F122:F131" si="27">+D122-E122</f>
        <v>-42</v>
      </c>
      <c r="G122" s="7">
        <f t="shared" ref="G122:G133" si="28">IF(E122=0,"NA",(+D122-E122)/E122)</f>
        <v>-3.3824595312877508E-3</v>
      </c>
      <c r="H122" s="46" t="s">
        <v>159</v>
      </c>
      <c r="J122" s="35"/>
    </row>
    <row r="123" spans="1:10" ht="39.75" customHeight="1" x14ac:dyDescent="0.25">
      <c r="B123" s="1" t="s">
        <v>80</v>
      </c>
      <c r="D123" s="52">
        <f>+'New Year-Full Year'!G123</f>
        <v>31718.039999999994</v>
      </c>
      <c r="E123" s="47">
        <v>31274</v>
      </c>
      <c r="F123" s="64">
        <f t="shared" si="27"/>
        <v>444.0399999999936</v>
      </c>
      <c r="G123" s="7">
        <f t="shared" si="28"/>
        <v>1.4198375647502513E-2</v>
      </c>
      <c r="H123" s="46" t="s">
        <v>157</v>
      </c>
      <c r="J123" s="35"/>
    </row>
    <row r="124" spans="1:10" x14ac:dyDescent="0.25">
      <c r="B124" s="1" t="s">
        <v>81</v>
      </c>
      <c r="D124" s="52">
        <f>+'New Year-Full Year'!G124</f>
        <v>400</v>
      </c>
      <c r="E124" s="47">
        <v>500</v>
      </c>
      <c r="F124" s="64">
        <f t="shared" si="27"/>
        <v>-100</v>
      </c>
      <c r="G124" s="7">
        <f t="shared" si="28"/>
        <v>-0.2</v>
      </c>
      <c r="J124" s="35"/>
    </row>
    <row r="125" spans="1:10" x14ac:dyDescent="0.25">
      <c r="B125" s="1" t="s">
        <v>82</v>
      </c>
      <c r="D125" s="52">
        <f>+'New Year-Full Year'!G125</f>
        <v>700</v>
      </c>
      <c r="E125" s="47">
        <v>1000</v>
      </c>
      <c r="F125" s="64">
        <f t="shared" si="27"/>
        <v>-300</v>
      </c>
      <c r="G125" s="7">
        <f t="shared" si="28"/>
        <v>-0.3</v>
      </c>
      <c r="J125" s="35"/>
    </row>
    <row r="126" spans="1:10" x14ac:dyDescent="0.25">
      <c r="B126" s="1" t="s">
        <v>83</v>
      </c>
      <c r="D126" s="52">
        <f>+'New Year-Full Year'!G126</f>
        <v>0</v>
      </c>
      <c r="E126" s="47">
        <f>7.5*4*20</f>
        <v>600</v>
      </c>
      <c r="F126" s="64">
        <f t="shared" si="27"/>
        <v>-600</v>
      </c>
      <c r="G126" s="7">
        <f t="shared" si="28"/>
        <v>-1</v>
      </c>
      <c r="I126" s="6"/>
      <c r="J126" s="35"/>
    </row>
    <row r="127" spans="1:10" x14ac:dyDescent="0.25">
      <c r="B127" s="1" t="s">
        <v>125</v>
      </c>
      <c r="D127" s="52">
        <f>+'New Year-Full Year'!G127</f>
        <v>17940</v>
      </c>
      <c r="E127" s="47">
        <f>11.5*30*50</f>
        <v>17250</v>
      </c>
      <c r="F127" s="64">
        <f t="shared" si="27"/>
        <v>690</v>
      </c>
      <c r="G127" s="7">
        <f t="shared" si="28"/>
        <v>0.04</v>
      </c>
      <c r="J127" s="35"/>
    </row>
    <row r="128" spans="1:10" ht="30" x14ac:dyDescent="0.25">
      <c r="B128" s="1" t="s">
        <v>84</v>
      </c>
      <c r="D128" s="52">
        <f>+'New Year-Full Year'!G128</f>
        <v>9400</v>
      </c>
      <c r="E128" s="47">
        <v>9865</v>
      </c>
      <c r="F128" s="64">
        <f t="shared" si="27"/>
        <v>-465</v>
      </c>
      <c r="G128" s="7">
        <f t="shared" si="28"/>
        <v>-4.7136340598073999E-2</v>
      </c>
      <c r="H128" s="46" t="s">
        <v>158</v>
      </c>
      <c r="J128" s="35"/>
    </row>
    <row r="129" spans="1:8" x14ac:dyDescent="0.25">
      <c r="B129" s="1" t="s">
        <v>85</v>
      </c>
      <c r="D129" s="52">
        <f>+'New Year-Full Year'!G129</f>
        <v>3451</v>
      </c>
      <c r="E129" s="47">
        <v>3400</v>
      </c>
      <c r="F129" s="64">
        <f t="shared" si="27"/>
        <v>51</v>
      </c>
      <c r="G129" s="7">
        <f t="shared" si="28"/>
        <v>1.4999999999999999E-2</v>
      </c>
    </row>
    <row r="130" spans="1:8" x14ac:dyDescent="0.25">
      <c r="B130" s="1" t="s">
        <v>86</v>
      </c>
      <c r="D130" s="52">
        <f>+'New Year-Full Year'!G130</f>
        <v>600</v>
      </c>
      <c r="E130" s="47">
        <v>600</v>
      </c>
      <c r="F130" s="64">
        <f t="shared" si="27"/>
        <v>0</v>
      </c>
      <c r="G130" s="7">
        <f t="shared" si="28"/>
        <v>0</v>
      </c>
    </row>
    <row r="131" spans="1:8" x14ac:dyDescent="0.25">
      <c r="B131" s="1" t="s">
        <v>87</v>
      </c>
      <c r="D131" s="52">
        <f>+'New Year-Full Year'!G131</f>
        <v>0</v>
      </c>
      <c r="E131" s="47">
        <v>-5000</v>
      </c>
      <c r="F131" s="64">
        <f t="shared" si="27"/>
        <v>5000</v>
      </c>
      <c r="G131" s="7">
        <f t="shared" si="28"/>
        <v>-1</v>
      </c>
    </row>
    <row r="132" spans="1:8" s="5" customFormat="1" x14ac:dyDescent="0.25">
      <c r="A132" s="33" t="s">
        <v>79</v>
      </c>
      <c r="B132" s="33"/>
      <c r="C132" s="33"/>
      <c r="D132" s="33">
        <f>SUM(D122:D131)</f>
        <v>76584.039999999994</v>
      </c>
      <c r="E132" s="60">
        <f>SUM(E122:E131)</f>
        <v>71906</v>
      </c>
      <c r="F132" s="60">
        <f>SUM(F122:F131)</f>
        <v>4678.0399999999936</v>
      </c>
      <c r="G132" s="34">
        <f t="shared" si="28"/>
        <v>6.5057714238032902E-2</v>
      </c>
      <c r="H132" s="14"/>
    </row>
    <row r="133" spans="1:8" x14ac:dyDescent="0.25">
      <c r="A133" s="33" t="s">
        <v>88</v>
      </c>
      <c r="B133" s="33"/>
      <c r="C133" s="44"/>
      <c r="D133" s="33">
        <f>+D91+D96+D101+D110+D119+D132</f>
        <v>320352.03999999998</v>
      </c>
      <c r="E133" s="60">
        <f>+E91+E96+E101+E110+E119+E132</f>
        <v>324536.40000000002</v>
      </c>
      <c r="F133" s="60">
        <f>+F91+F96+F101+F110+F119+F132</f>
        <v>-4184.3600000000024</v>
      </c>
      <c r="G133" s="34">
        <f t="shared" si="28"/>
        <v>-1.2893345707908401E-2</v>
      </c>
    </row>
    <row r="134" spans="1:8" ht="8.25" customHeight="1" x14ac:dyDescent="0.25">
      <c r="G134" s="8"/>
    </row>
    <row r="135" spans="1:8" ht="18.75" x14ac:dyDescent="0.25">
      <c r="A135" s="11" t="s">
        <v>89</v>
      </c>
      <c r="G135" s="8"/>
    </row>
    <row r="136" spans="1:8" x14ac:dyDescent="0.25">
      <c r="A136" s="5" t="s">
        <v>90</v>
      </c>
      <c r="G136" s="8"/>
    </row>
    <row r="137" spans="1:8" x14ac:dyDescent="0.25">
      <c r="B137" s="1" t="s">
        <v>92</v>
      </c>
      <c r="D137" s="52">
        <f>+'New Year-Full Year'!G137</f>
        <v>17000</v>
      </c>
      <c r="E137" s="47">
        <v>18000</v>
      </c>
      <c r="F137" s="64">
        <f t="shared" ref="F137:F143" si="29">+D137-E137</f>
        <v>-1000</v>
      </c>
      <c r="G137" s="7">
        <f t="shared" ref="G137:G144" si="30">IF(E137=0,"NA",(+D137-E137)/E137)</f>
        <v>-5.5555555555555552E-2</v>
      </c>
    </row>
    <row r="138" spans="1:8" x14ac:dyDescent="0.25">
      <c r="B138" s="1" t="s">
        <v>93</v>
      </c>
      <c r="D138" s="52">
        <f>+'New Year-Full Year'!G138</f>
        <v>10500</v>
      </c>
      <c r="E138" s="47">
        <v>12000</v>
      </c>
      <c r="F138" s="64">
        <f t="shared" si="29"/>
        <v>-1500</v>
      </c>
      <c r="G138" s="7">
        <f t="shared" si="30"/>
        <v>-0.125</v>
      </c>
    </row>
    <row r="139" spans="1:8" x14ac:dyDescent="0.25">
      <c r="B139" s="1" t="s">
        <v>94</v>
      </c>
      <c r="D139" s="52">
        <f>+'New Year-Full Year'!G139</f>
        <v>5532</v>
      </c>
      <c r="E139" s="47">
        <v>3400</v>
      </c>
      <c r="F139" s="64">
        <f t="shared" si="29"/>
        <v>2132</v>
      </c>
      <c r="G139" s="7">
        <f t="shared" si="30"/>
        <v>0.62705882352941178</v>
      </c>
    </row>
    <row r="140" spans="1:8" x14ac:dyDescent="0.25">
      <c r="B140" s="1" t="s">
        <v>95</v>
      </c>
      <c r="D140" s="52">
        <f>+'New Year-Full Year'!G140</f>
        <v>850</v>
      </c>
      <c r="E140" s="47">
        <v>850</v>
      </c>
      <c r="F140" s="64">
        <f t="shared" si="29"/>
        <v>0</v>
      </c>
      <c r="G140" s="7">
        <f t="shared" si="30"/>
        <v>0</v>
      </c>
    </row>
    <row r="141" spans="1:8" x14ac:dyDescent="0.25">
      <c r="B141" s="1" t="s">
        <v>96</v>
      </c>
      <c r="D141" s="52">
        <f>+'New Year-Full Year'!G141</f>
        <v>3300</v>
      </c>
      <c r="E141" s="47">
        <v>3300</v>
      </c>
      <c r="F141" s="64">
        <f t="shared" si="29"/>
        <v>0</v>
      </c>
      <c r="G141" s="7">
        <f t="shared" si="30"/>
        <v>0</v>
      </c>
    </row>
    <row r="142" spans="1:8" x14ac:dyDescent="0.25">
      <c r="B142" s="1" t="s">
        <v>97</v>
      </c>
      <c r="D142" s="52">
        <f>+'New Year-Full Year'!G142</f>
        <v>2700</v>
      </c>
      <c r="E142" s="47">
        <v>2500</v>
      </c>
      <c r="F142" s="64">
        <f t="shared" si="29"/>
        <v>200</v>
      </c>
      <c r="G142" s="7">
        <f t="shared" si="30"/>
        <v>0.08</v>
      </c>
    </row>
    <row r="143" spans="1:8" x14ac:dyDescent="0.25">
      <c r="B143" s="1" t="s">
        <v>98</v>
      </c>
      <c r="D143" s="52">
        <f>+'New Year-Full Year'!G143</f>
        <v>3674</v>
      </c>
      <c r="E143" s="47">
        <v>3100</v>
      </c>
      <c r="F143" s="64">
        <f t="shared" si="29"/>
        <v>574</v>
      </c>
      <c r="G143" s="7">
        <f t="shared" si="30"/>
        <v>0.18516129032258064</v>
      </c>
    </row>
    <row r="144" spans="1:8" s="5" customFormat="1" x14ac:dyDescent="0.25">
      <c r="A144" s="36" t="s">
        <v>99</v>
      </c>
      <c r="B144" s="36"/>
      <c r="C144" s="36"/>
      <c r="D144" s="36">
        <f>SUM(D137:D143)</f>
        <v>43556</v>
      </c>
      <c r="E144" s="61">
        <f>SUM(E137:E143)</f>
        <v>43150</v>
      </c>
      <c r="F144" s="61">
        <f>SUM(F137:F143)</f>
        <v>406</v>
      </c>
      <c r="G144" s="37">
        <f t="shared" si="30"/>
        <v>9.4090382387022019E-3</v>
      </c>
      <c r="H144" s="14"/>
    </row>
    <row r="145" spans="1:8" s="5" customFormat="1" ht="6.75" customHeight="1" x14ac:dyDescent="0.25">
      <c r="A145" s="22"/>
      <c r="B145" s="22"/>
      <c r="C145" s="22"/>
      <c r="D145" s="22"/>
      <c r="E145" s="55"/>
      <c r="F145" s="55"/>
      <c r="G145" s="25"/>
      <c r="H145" s="14"/>
    </row>
    <row r="146" spans="1:8" x14ac:dyDescent="0.25">
      <c r="A146" s="5" t="s">
        <v>100</v>
      </c>
      <c r="G146" s="8"/>
    </row>
    <row r="147" spans="1:8" x14ac:dyDescent="0.25">
      <c r="B147" s="1" t="s">
        <v>101</v>
      </c>
      <c r="D147" s="52">
        <f>+'New Year-Full Year'!G147</f>
        <v>12500</v>
      </c>
      <c r="E147" s="47">
        <v>12000</v>
      </c>
      <c r="F147" s="64">
        <f t="shared" ref="F147:F154" si="31">+D147-E147</f>
        <v>500</v>
      </c>
      <c r="G147" s="7">
        <f t="shared" ref="G147:G156" si="32">IF(E147=0,"NA",(+D147-E147)/E147)</f>
        <v>4.1666666666666664E-2</v>
      </c>
    </row>
    <row r="148" spans="1:8" x14ac:dyDescent="0.25">
      <c r="B148" s="1" t="s">
        <v>102</v>
      </c>
      <c r="D148" s="52">
        <f>+'New Year-Full Year'!G148</f>
        <v>5000</v>
      </c>
      <c r="E148" s="47">
        <v>5000</v>
      </c>
      <c r="F148" s="64">
        <f t="shared" si="31"/>
        <v>0</v>
      </c>
      <c r="G148" s="7">
        <f t="shared" si="32"/>
        <v>0</v>
      </c>
    </row>
    <row r="149" spans="1:8" x14ac:dyDescent="0.25">
      <c r="B149" s="1" t="s">
        <v>103</v>
      </c>
      <c r="D149" s="52">
        <f>+'New Year-Full Year'!G149</f>
        <v>2500</v>
      </c>
      <c r="E149" s="47">
        <v>2500</v>
      </c>
      <c r="F149" s="64">
        <f t="shared" si="31"/>
        <v>0</v>
      </c>
      <c r="G149" s="7">
        <f t="shared" si="32"/>
        <v>0</v>
      </c>
    </row>
    <row r="150" spans="1:8" ht="28.5" customHeight="1" x14ac:dyDescent="0.25">
      <c r="B150" s="223" t="s">
        <v>129</v>
      </c>
      <c r="C150" s="223"/>
      <c r="D150" s="52">
        <f>+'New Year-Full Year'!G150</f>
        <v>4300</v>
      </c>
      <c r="E150" s="47">
        <v>2700</v>
      </c>
      <c r="F150" s="64">
        <f t="shared" si="31"/>
        <v>1600</v>
      </c>
      <c r="G150" s="7">
        <f t="shared" si="32"/>
        <v>0.59259259259259256</v>
      </c>
    </row>
    <row r="151" spans="1:8" x14ac:dyDescent="0.25">
      <c r="B151" s="1" t="s">
        <v>104</v>
      </c>
      <c r="D151" s="52">
        <f>+'New Year-Full Year'!G151</f>
        <v>6000</v>
      </c>
      <c r="E151" s="47">
        <v>10000</v>
      </c>
      <c r="F151" s="64">
        <f t="shared" si="31"/>
        <v>-4000</v>
      </c>
      <c r="G151" s="7">
        <f t="shared" si="32"/>
        <v>-0.4</v>
      </c>
      <c r="H151" s="46" t="s">
        <v>155</v>
      </c>
    </row>
    <row r="152" spans="1:8" x14ac:dyDescent="0.25">
      <c r="B152" s="1" t="s">
        <v>105</v>
      </c>
      <c r="D152" s="52">
        <f>+'New Year-Full Year'!G152</f>
        <v>0</v>
      </c>
      <c r="E152" s="47">
        <v>0</v>
      </c>
      <c r="F152" s="64">
        <f t="shared" si="31"/>
        <v>0</v>
      </c>
      <c r="G152" s="7" t="str">
        <f t="shared" si="32"/>
        <v>NA</v>
      </c>
    </row>
    <row r="153" spans="1:8" x14ac:dyDescent="0.25">
      <c r="B153" s="1" t="s">
        <v>107</v>
      </c>
      <c r="D153" s="52">
        <f>+'New Year-Full Year'!G153</f>
        <v>54900</v>
      </c>
      <c r="E153" s="47">
        <v>54900</v>
      </c>
      <c r="F153" s="64">
        <f t="shared" si="31"/>
        <v>0</v>
      </c>
      <c r="G153" s="7">
        <f t="shared" si="32"/>
        <v>0</v>
      </c>
    </row>
    <row r="154" spans="1:8" x14ac:dyDescent="0.25">
      <c r="B154" s="1" t="s">
        <v>106</v>
      </c>
      <c r="D154" s="52">
        <f>+'New Year-Full Year'!G154</f>
        <v>0</v>
      </c>
      <c r="E154" s="47">
        <v>1400</v>
      </c>
      <c r="F154" s="64">
        <f t="shared" si="31"/>
        <v>-1400</v>
      </c>
      <c r="G154" s="7">
        <f t="shared" si="32"/>
        <v>-1</v>
      </c>
    </row>
    <row r="155" spans="1:8" s="5" customFormat="1" x14ac:dyDescent="0.25">
      <c r="A155" s="36" t="s">
        <v>108</v>
      </c>
      <c r="B155" s="36"/>
      <c r="C155" s="36"/>
      <c r="D155" s="36">
        <f>SUM(D147:D154)</f>
        <v>85200</v>
      </c>
      <c r="E155" s="61">
        <f>SUM(E147:E154)</f>
        <v>88500</v>
      </c>
      <c r="F155" s="61">
        <f>SUM(F147:F154)</f>
        <v>-3300</v>
      </c>
      <c r="G155" s="37">
        <f t="shared" si="32"/>
        <v>-3.7288135593220341E-2</v>
      </c>
      <c r="H155" s="14"/>
    </row>
    <row r="156" spans="1:8" x14ac:dyDescent="0.25">
      <c r="A156" s="36" t="s">
        <v>109</v>
      </c>
      <c r="B156" s="36"/>
      <c r="C156" s="36"/>
      <c r="D156" s="36">
        <f>+D144+D155</f>
        <v>128756</v>
      </c>
      <c r="E156" s="61">
        <f>+E144+E155</f>
        <v>131650</v>
      </c>
      <c r="F156" s="61">
        <f>+F144+F155</f>
        <v>-2894</v>
      </c>
      <c r="G156" s="37">
        <f t="shared" si="32"/>
        <v>-2.1982529434105582E-2</v>
      </c>
    </row>
    <row r="157" spans="1:8" ht="4.5" customHeight="1" x14ac:dyDescent="0.25">
      <c r="G157" s="8"/>
    </row>
    <row r="158" spans="1:8" ht="18.75" x14ac:dyDescent="0.25">
      <c r="A158" s="11" t="s">
        <v>110</v>
      </c>
      <c r="G158" s="8"/>
    </row>
    <row r="159" spans="1:8" x14ac:dyDescent="0.25">
      <c r="A159" s="5" t="s">
        <v>111</v>
      </c>
      <c r="G159" s="8"/>
    </row>
    <row r="160" spans="1:8" x14ac:dyDescent="0.25">
      <c r="B160" s="1" t="s">
        <v>112</v>
      </c>
      <c r="D160" s="52">
        <f>+'New Year-Full Year'!G160</f>
        <v>0</v>
      </c>
      <c r="E160" s="47">
        <v>0</v>
      </c>
      <c r="F160" s="64">
        <f t="shared" ref="F160:F163" si="33">+D160-E160</f>
        <v>0</v>
      </c>
      <c r="G160" s="7" t="str">
        <f t="shared" ref="G160:G164" si="34">IF(E160=0,"NA",(+D160-E160)/E160)</f>
        <v>NA</v>
      </c>
    </row>
    <row r="161" spans="1:8" x14ac:dyDescent="0.25">
      <c r="B161" s="1" t="s">
        <v>113</v>
      </c>
      <c r="D161" s="52">
        <f>+'New Year-Full Year'!G161</f>
        <v>2910</v>
      </c>
      <c r="E161" s="47">
        <v>5000</v>
      </c>
      <c r="F161" s="64">
        <f t="shared" si="33"/>
        <v>-2090</v>
      </c>
      <c r="G161" s="7">
        <f t="shared" si="34"/>
        <v>-0.41799999999999998</v>
      </c>
    </row>
    <row r="162" spans="1:8" x14ac:dyDescent="0.25">
      <c r="B162" s="1" t="s">
        <v>114</v>
      </c>
      <c r="D162" s="52">
        <f>+'New Year-Full Year'!G162</f>
        <v>0</v>
      </c>
      <c r="E162" s="47">
        <v>0</v>
      </c>
      <c r="F162" s="64">
        <f t="shared" si="33"/>
        <v>0</v>
      </c>
      <c r="G162" s="7" t="str">
        <f t="shared" si="34"/>
        <v>NA</v>
      </c>
    </row>
    <row r="163" spans="1:8" x14ac:dyDescent="0.25">
      <c r="B163" s="1" t="s">
        <v>115</v>
      </c>
      <c r="D163" s="52">
        <f>+'New Year-Full Year'!G163</f>
        <v>0</v>
      </c>
      <c r="E163" s="47">
        <v>5000</v>
      </c>
      <c r="F163" s="64">
        <f t="shared" si="33"/>
        <v>-5000</v>
      </c>
      <c r="G163" s="7">
        <f t="shared" si="34"/>
        <v>-1</v>
      </c>
    </row>
    <row r="164" spans="1:8" s="5" customFormat="1" x14ac:dyDescent="0.25">
      <c r="A164" s="38" t="s">
        <v>116</v>
      </c>
      <c r="B164" s="38"/>
      <c r="C164" s="38"/>
      <c r="D164" s="38">
        <f>SUM(D160:D163)</f>
        <v>2910</v>
      </c>
      <c r="E164" s="62">
        <f>SUM(E160:E163)</f>
        <v>10000</v>
      </c>
      <c r="F164" s="62">
        <f>SUM(F160:F163)</f>
        <v>-7090</v>
      </c>
      <c r="G164" s="39">
        <f t="shared" si="34"/>
        <v>-0.70899999999999996</v>
      </c>
      <c r="H164" s="14"/>
    </row>
    <row r="165" spans="1:8" ht="7.5" customHeight="1" x14ac:dyDescent="0.25">
      <c r="G165" s="8"/>
    </row>
    <row r="166" spans="1:8" x14ac:dyDescent="0.25">
      <c r="A166" s="40" t="s">
        <v>117</v>
      </c>
      <c r="B166" s="41"/>
      <c r="C166" s="41"/>
      <c r="D166" s="40">
        <f>+D82+D133+D156+D164+D31</f>
        <v>561226.04</v>
      </c>
      <c r="E166" s="63">
        <f>+E82+E133+E156+E164+E31</f>
        <v>580036.4</v>
      </c>
      <c r="F166" s="63">
        <f>ROUND(+F82+F133+F156+F164+F31,0)</f>
        <v>-18810</v>
      </c>
      <c r="G166" s="42">
        <f t="shared" ref="G166:G167" si="35">IF(E166=0,"NA",(+D166-E166)/E166)</f>
        <v>-3.2429619934197206E-2</v>
      </c>
    </row>
    <row r="167" spans="1:8" x14ac:dyDescent="0.25">
      <c r="A167" s="40" t="s">
        <v>118</v>
      </c>
      <c r="B167" s="41"/>
      <c r="C167" s="41"/>
      <c r="D167" s="40">
        <f>+D22-D166</f>
        <v>-4.0000000037252903E-2</v>
      </c>
      <c r="E167" s="63">
        <f>+E22-E166</f>
        <v>0.19999999995343387</v>
      </c>
      <c r="F167" s="63">
        <f>ROUND(+F22-F166,0)</f>
        <v>-1</v>
      </c>
      <c r="G167" s="42">
        <f t="shared" si="35"/>
        <v>-1.2000000002328306</v>
      </c>
    </row>
    <row r="168" spans="1:8" x14ac:dyDescent="0.25">
      <c r="G168" s="8"/>
    </row>
    <row r="169" spans="1:8" x14ac:dyDescent="0.25">
      <c r="G169" s="8"/>
    </row>
    <row r="170" spans="1:8" x14ac:dyDescent="0.25">
      <c r="G170" s="8"/>
    </row>
    <row r="171" spans="1:8" x14ac:dyDescent="0.25">
      <c r="G171" s="8"/>
    </row>
    <row r="172" spans="1:8" x14ac:dyDescent="0.25">
      <c r="G172" s="8"/>
    </row>
    <row r="173" spans="1:8" x14ac:dyDescent="0.25">
      <c r="G173" s="8"/>
    </row>
    <row r="174" spans="1:8" x14ac:dyDescent="0.25">
      <c r="G174" s="8"/>
    </row>
    <row r="175" spans="1:8" x14ac:dyDescent="0.25">
      <c r="G175" s="8"/>
    </row>
    <row r="176" spans="1:8" x14ac:dyDescent="0.25">
      <c r="G176" s="8"/>
    </row>
    <row r="177" spans="7:7" x14ac:dyDescent="0.25">
      <c r="G177" s="8"/>
    </row>
    <row r="178" spans="7:7" x14ac:dyDescent="0.25">
      <c r="G178" s="8"/>
    </row>
    <row r="179" spans="7:7" x14ac:dyDescent="0.25">
      <c r="G179" s="8"/>
    </row>
    <row r="180" spans="7:7" x14ac:dyDescent="0.25">
      <c r="G180" s="8"/>
    </row>
    <row r="181" spans="7:7" x14ac:dyDescent="0.25">
      <c r="G181" s="8"/>
    </row>
    <row r="182" spans="7:7" x14ac:dyDescent="0.25">
      <c r="G182" s="8"/>
    </row>
    <row r="183" spans="7:7" x14ac:dyDescent="0.25">
      <c r="G183" s="8"/>
    </row>
    <row r="184" spans="7:7" x14ac:dyDescent="0.25">
      <c r="G184" s="8"/>
    </row>
    <row r="185" spans="7:7" x14ac:dyDescent="0.25">
      <c r="G185" s="8"/>
    </row>
    <row r="186" spans="7:7" x14ac:dyDescent="0.25">
      <c r="G186" s="8"/>
    </row>
    <row r="187" spans="7:7" x14ac:dyDescent="0.25">
      <c r="G187" s="8"/>
    </row>
    <row r="188" spans="7:7" x14ac:dyDescent="0.25">
      <c r="G188" s="8"/>
    </row>
    <row r="189" spans="7:7" x14ac:dyDescent="0.25">
      <c r="G189" s="8"/>
    </row>
  </sheetData>
  <mergeCells count="4">
    <mergeCell ref="A1:H1"/>
    <mergeCell ref="A2:H2"/>
    <mergeCell ref="D3:G3"/>
    <mergeCell ref="B150:C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D170"/>
  <sheetViews>
    <sheetView showGridLines="0" topLeftCell="A3" workbookViewId="0">
      <pane xSplit="5" ySplit="2" topLeftCell="M144" activePane="bottomRight" state="frozen"/>
      <selection activeCell="A3" sqref="A3"/>
      <selection pane="topRight" activeCell="F3" sqref="F3"/>
      <selection pane="bottomLeft" activeCell="A5" sqref="A5"/>
      <selection pane="bottomRight" activeCell="O168" sqref="O168"/>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customWidth="1" outlineLevel="1"/>
    <col min="17" max="17" width="15.28515625" style="35" customWidth="1" outlineLevel="1"/>
    <col min="18" max="18" width="15" style="35" customWidth="1"/>
    <col min="19" max="29" width="14.140625" style="35" hidden="1" customWidth="1" outlineLevel="1"/>
    <col min="30" max="30" width="16.425781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261</v>
      </c>
      <c r="G3" s="237"/>
      <c r="H3" s="237"/>
      <c r="I3" s="237"/>
      <c r="J3" s="237"/>
      <c r="K3" s="237"/>
      <c r="L3" s="237"/>
      <c r="M3" s="237"/>
      <c r="N3" s="237"/>
      <c r="O3" s="237"/>
      <c r="P3" s="237"/>
      <c r="Q3" s="237"/>
      <c r="R3" s="238"/>
      <c r="S3" s="239" t="str">
        <f>+F3&amp;" YTD"</f>
        <v>2013 Actuals YTD</v>
      </c>
      <c r="T3" s="240"/>
      <c r="U3" s="240"/>
      <c r="V3" s="240"/>
      <c r="W3" s="240"/>
      <c r="X3" s="240"/>
      <c r="Y3" s="240"/>
      <c r="Z3" s="240"/>
      <c r="AA3" s="240"/>
      <c r="AB3" s="240"/>
      <c r="AC3" s="240"/>
      <c r="AD3" s="241"/>
    </row>
    <row r="4" spans="1:30" s="5" customFormat="1" ht="53.25" customHeight="1" x14ac:dyDescent="0.25">
      <c r="A4" s="107"/>
      <c r="E4" s="88"/>
      <c r="F4" s="69" t="s">
        <v>166</v>
      </c>
      <c r="G4" s="69" t="s">
        <v>168</v>
      </c>
      <c r="H4" s="69" t="s">
        <v>169</v>
      </c>
      <c r="I4" s="69" t="s">
        <v>170</v>
      </c>
      <c r="J4" s="69" t="s">
        <v>171</v>
      </c>
      <c r="K4" s="69" t="s">
        <v>172</v>
      </c>
      <c r="L4" s="69" t="s">
        <v>173</v>
      </c>
      <c r="M4" s="69" t="s">
        <v>174</v>
      </c>
      <c r="N4" s="69" t="s">
        <v>175</v>
      </c>
      <c r="O4" s="69" t="s">
        <v>176</v>
      </c>
      <c r="P4" s="69" t="s">
        <v>177</v>
      </c>
      <c r="Q4" s="69" t="s">
        <v>178</v>
      </c>
      <c r="R4" s="69"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row>
    <row r="6" spans="1:30" x14ac:dyDescent="0.25">
      <c r="A6" s="106">
        <v>1</v>
      </c>
      <c r="B6" s="5" t="s">
        <v>1</v>
      </c>
      <c r="F6" s="138"/>
      <c r="G6" s="138"/>
      <c r="H6" s="138"/>
      <c r="I6" s="138"/>
      <c r="J6" s="138"/>
      <c r="K6" s="138"/>
      <c r="L6" s="138"/>
      <c r="M6" s="138"/>
      <c r="N6" s="138"/>
      <c r="O6" s="138"/>
      <c r="P6" s="138"/>
      <c r="Q6" s="138"/>
      <c r="R6" s="137"/>
      <c r="S6" s="137"/>
      <c r="T6" s="137"/>
      <c r="U6" s="137"/>
      <c r="V6" s="137"/>
      <c r="W6" s="137"/>
      <c r="X6" s="137"/>
      <c r="Y6" s="137"/>
      <c r="Z6" s="137"/>
      <c r="AA6" s="137"/>
      <c r="AB6" s="137"/>
      <c r="AC6" s="137"/>
      <c r="AD6" s="137"/>
    </row>
    <row r="7" spans="1:30" x14ac:dyDescent="0.25">
      <c r="A7" s="106">
        <v>2</v>
      </c>
      <c r="C7" s="1" t="s">
        <v>1</v>
      </c>
      <c r="F7" s="138"/>
      <c r="G7" s="138"/>
      <c r="H7" s="138"/>
      <c r="I7" s="138"/>
      <c r="J7" s="138"/>
      <c r="K7" s="138"/>
      <c r="L7" s="138"/>
      <c r="M7" s="138"/>
      <c r="N7" s="138">
        <v>419526.68</v>
      </c>
      <c r="O7" s="138">
        <v>34040</v>
      </c>
      <c r="P7" s="138"/>
      <c r="Q7" s="138"/>
      <c r="R7" s="139">
        <f>SUM(F7:Q7)</f>
        <v>453566.68</v>
      </c>
      <c r="S7" s="139">
        <f>SUM(F7)</f>
        <v>0</v>
      </c>
      <c r="T7" s="139">
        <f>SUM($F7:G7)</f>
        <v>0</v>
      </c>
      <c r="U7" s="139">
        <f>SUM($F7:H7)</f>
        <v>0</v>
      </c>
      <c r="V7" s="139">
        <f>SUM($F7:I7)</f>
        <v>0</v>
      </c>
      <c r="W7" s="139">
        <f>SUM($F7:J7)</f>
        <v>0</v>
      </c>
      <c r="X7" s="139">
        <f>SUM($F7:K7)</f>
        <v>0</v>
      </c>
      <c r="Y7" s="139">
        <f>SUM($F7:L7)</f>
        <v>0</v>
      </c>
      <c r="Z7" s="139">
        <f>SUM($F7:M7)</f>
        <v>0</v>
      </c>
      <c r="AA7" s="139">
        <f>SUM($F7:N7)</f>
        <v>419526.68</v>
      </c>
      <c r="AB7" s="139">
        <f>SUM($F7:O7)</f>
        <v>453566.68</v>
      </c>
      <c r="AC7" s="139">
        <f>SUM($F7:P7)</f>
        <v>453566.68</v>
      </c>
      <c r="AD7" s="139">
        <f>SUM($F7:Q7)</f>
        <v>453566.68</v>
      </c>
    </row>
    <row r="8" spans="1:30" x14ac:dyDescent="0.25">
      <c r="A8" s="106">
        <v>3</v>
      </c>
      <c r="C8" s="1" t="s">
        <v>2</v>
      </c>
      <c r="F8" s="138"/>
      <c r="G8" s="138"/>
      <c r="H8" s="138"/>
      <c r="I8" s="138"/>
      <c r="J8" s="138"/>
      <c r="K8" s="138"/>
      <c r="L8" s="138"/>
      <c r="M8" s="138"/>
      <c r="N8" s="138">
        <v>0</v>
      </c>
      <c r="O8" s="138">
        <v>0</v>
      </c>
      <c r="P8" s="138"/>
      <c r="Q8" s="138"/>
      <c r="R8" s="13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138"/>
      <c r="G9" s="138"/>
      <c r="H9" s="138"/>
      <c r="I9" s="138"/>
      <c r="J9" s="138"/>
      <c r="K9" s="138"/>
      <c r="L9" s="138"/>
      <c r="M9" s="138"/>
      <c r="N9" s="138">
        <v>4532</v>
      </c>
      <c r="O9" s="138">
        <v>0</v>
      </c>
      <c r="P9" s="138"/>
      <c r="Q9" s="138"/>
      <c r="R9" s="139">
        <f t="shared" si="0"/>
        <v>4532</v>
      </c>
      <c r="S9" s="139">
        <f t="shared" si="1"/>
        <v>0</v>
      </c>
      <c r="T9" s="139">
        <f>SUM($F9:G9)</f>
        <v>0</v>
      </c>
      <c r="U9" s="139">
        <f>SUM($F9:H9)</f>
        <v>0</v>
      </c>
      <c r="V9" s="139">
        <f>SUM($F9:I9)</f>
        <v>0</v>
      </c>
      <c r="W9" s="139">
        <f>SUM($F9:J9)</f>
        <v>0</v>
      </c>
      <c r="X9" s="139">
        <f>SUM($F9:K9)</f>
        <v>0</v>
      </c>
      <c r="Y9" s="139">
        <f>SUM($F9:L9)</f>
        <v>0</v>
      </c>
      <c r="Z9" s="139">
        <f>SUM($F9:M9)</f>
        <v>0</v>
      </c>
      <c r="AA9" s="139">
        <f>SUM($F9:N9)</f>
        <v>4532</v>
      </c>
      <c r="AB9" s="139">
        <f>SUM($F9:O9)</f>
        <v>4532</v>
      </c>
      <c r="AC9" s="139">
        <f>SUM($F9:P9)</f>
        <v>4532</v>
      </c>
      <c r="AD9" s="139">
        <f>SUM($F9:Q9)</f>
        <v>4532</v>
      </c>
    </row>
    <row r="10" spans="1:30" x14ac:dyDescent="0.25">
      <c r="A10" s="106">
        <v>5</v>
      </c>
      <c r="C10" s="1" t="s">
        <v>4</v>
      </c>
      <c r="F10" s="138"/>
      <c r="G10" s="138"/>
      <c r="H10" s="138"/>
      <c r="I10" s="138"/>
      <c r="J10" s="138"/>
      <c r="K10" s="138"/>
      <c r="L10" s="138"/>
      <c r="M10" s="138"/>
      <c r="N10" s="138">
        <v>0</v>
      </c>
      <c r="O10" s="138">
        <v>0</v>
      </c>
      <c r="P10" s="138"/>
      <c r="Q10" s="138"/>
      <c r="R10" s="139">
        <f t="shared" si="0"/>
        <v>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0</v>
      </c>
    </row>
    <row r="11" spans="1:30" x14ac:dyDescent="0.25">
      <c r="A11" s="106">
        <v>6</v>
      </c>
      <c r="C11" s="1" t="s">
        <v>5</v>
      </c>
      <c r="F11" s="138"/>
      <c r="G11" s="138"/>
      <c r="H11" s="138"/>
      <c r="I11" s="138"/>
      <c r="J11" s="138"/>
      <c r="K11" s="138"/>
      <c r="L11" s="138"/>
      <c r="M11" s="138"/>
      <c r="N11" s="138">
        <v>0</v>
      </c>
      <c r="O11" s="138">
        <v>0</v>
      </c>
      <c r="P11" s="138"/>
      <c r="Q11" s="138"/>
      <c r="R11" s="139">
        <f t="shared" si="0"/>
        <v>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0</v>
      </c>
    </row>
    <row r="12" spans="1:30" x14ac:dyDescent="0.25">
      <c r="A12" s="106">
        <v>7</v>
      </c>
      <c r="C12" s="1" t="s">
        <v>6</v>
      </c>
      <c r="F12" s="138"/>
      <c r="G12" s="138"/>
      <c r="H12" s="138"/>
      <c r="I12" s="138"/>
      <c r="J12" s="138"/>
      <c r="K12" s="138"/>
      <c r="L12" s="138"/>
      <c r="M12" s="138"/>
      <c r="N12" s="138">
        <v>2035.51</v>
      </c>
      <c r="O12" s="138">
        <v>0</v>
      </c>
      <c r="P12" s="138"/>
      <c r="Q12" s="138"/>
      <c r="R12" s="139">
        <f t="shared" si="0"/>
        <v>2035.51</v>
      </c>
      <c r="S12" s="139">
        <f t="shared" si="1"/>
        <v>0</v>
      </c>
      <c r="T12" s="139">
        <f>SUM($F12:G12)</f>
        <v>0</v>
      </c>
      <c r="U12" s="139">
        <f>SUM($F12:H12)</f>
        <v>0</v>
      </c>
      <c r="V12" s="139">
        <f>SUM($F12:I12)</f>
        <v>0</v>
      </c>
      <c r="W12" s="139">
        <f>SUM($F12:J12)</f>
        <v>0</v>
      </c>
      <c r="X12" s="139">
        <f>SUM($F12:K12)</f>
        <v>0</v>
      </c>
      <c r="Y12" s="139">
        <f>SUM($F12:L12)</f>
        <v>0</v>
      </c>
      <c r="Z12" s="139">
        <f>SUM($F12:M12)</f>
        <v>0</v>
      </c>
      <c r="AA12" s="139">
        <f>SUM($F12:N12)</f>
        <v>2035.51</v>
      </c>
      <c r="AB12" s="139">
        <f>SUM($F12:O12)</f>
        <v>2035.51</v>
      </c>
      <c r="AC12" s="139">
        <f>SUM($F12:P12)</f>
        <v>2035.51</v>
      </c>
      <c r="AD12" s="139">
        <f>SUM($F12:Q12)</f>
        <v>2035.51</v>
      </c>
    </row>
    <row r="13" spans="1:30" x14ac:dyDescent="0.25">
      <c r="A13" s="106">
        <v>8</v>
      </c>
      <c r="B13" s="15" t="s">
        <v>7</v>
      </c>
      <c r="C13" s="15"/>
      <c r="D13" s="15"/>
      <c r="E13" s="90"/>
      <c r="F13" s="140">
        <f t="shared" ref="F13:Q13" si="2">SUM(F7:F12)</f>
        <v>0</v>
      </c>
      <c r="G13" s="140">
        <f t="shared" si="2"/>
        <v>0</v>
      </c>
      <c r="H13" s="140">
        <f t="shared" si="2"/>
        <v>0</v>
      </c>
      <c r="I13" s="140">
        <f t="shared" si="2"/>
        <v>0</v>
      </c>
      <c r="J13" s="140">
        <f t="shared" si="2"/>
        <v>0</v>
      </c>
      <c r="K13" s="140">
        <f t="shared" si="2"/>
        <v>0</v>
      </c>
      <c r="L13" s="140">
        <f t="shared" si="2"/>
        <v>0</v>
      </c>
      <c r="M13" s="140">
        <f t="shared" si="2"/>
        <v>0</v>
      </c>
      <c r="N13" s="140">
        <f t="shared" si="2"/>
        <v>426094.19</v>
      </c>
      <c r="O13" s="140">
        <f t="shared" si="2"/>
        <v>34040</v>
      </c>
      <c r="P13" s="140">
        <f t="shared" si="2"/>
        <v>0</v>
      </c>
      <c r="Q13" s="140">
        <f t="shared" si="2"/>
        <v>0</v>
      </c>
      <c r="R13" s="140">
        <f>SUM(R7:R12)</f>
        <v>460134.19</v>
      </c>
      <c r="S13" s="140">
        <f t="shared" ref="S13:AD13" si="3">SUM(S7:S12)</f>
        <v>0</v>
      </c>
      <c r="T13" s="140">
        <f t="shared" si="3"/>
        <v>0</v>
      </c>
      <c r="U13" s="140">
        <f t="shared" si="3"/>
        <v>0</v>
      </c>
      <c r="V13" s="140">
        <f t="shared" si="3"/>
        <v>0</v>
      </c>
      <c r="W13" s="140">
        <f t="shared" si="3"/>
        <v>0</v>
      </c>
      <c r="X13" s="140">
        <f t="shared" si="3"/>
        <v>0</v>
      </c>
      <c r="Y13" s="140">
        <f t="shared" si="3"/>
        <v>0</v>
      </c>
      <c r="Z13" s="140">
        <f t="shared" si="3"/>
        <v>0</v>
      </c>
      <c r="AA13" s="140">
        <f t="shared" si="3"/>
        <v>426094.19</v>
      </c>
      <c r="AB13" s="140">
        <f t="shared" si="3"/>
        <v>460134.19</v>
      </c>
      <c r="AC13" s="140">
        <f t="shared" si="3"/>
        <v>460134.19</v>
      </c>
      <c r="AD13" s="140">
        <f t="shared" si="3"/>
        <v>460134.19</v>
      </c>
    </row>
    <row r="14" spans="1:30" ht="5.25" customHeight="1" x14ac:dyDescent="0.25">
      <c r="A14" s="106">
        <v>9</v>
      </c>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row>
    <row r="15" spans="1:30" x14ac:dyDescent="0.25">
      <c r="A15" s="106">
        <v>10</v>
      </c>
      <c r="B15" s="5" t="s">
        <v>8</v>
      </c>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row>
    <row r="16" spans="1:30" x14ac:dyDescent="0.25">
      <c r="A16" s="106">
        <v>11</v>
      </c>
      <c r="C16" s="1" t="s">
        <v>9</v>
      </c>
      <c r="E16" s="100"/>
      <c r="F16" s="138"/>
      <c r="G16" s="138"/>
      <c r="H16" s="138"/>
      <c r="I16" s="138"/>
      <c r="J16" s="138"/>
      <c r="K16" s="138"/>
      <c r="L16" s="138"/>
      <c r="M16" s="138"/>
      <c r="N16" s="138">
        <v>4692.96</v>
      </c>
      <c r="O16" s="138">
        <v>430.99</v>
      </c>
      <c r="P16" s="138"/>
      <c r="Q16" s="138"/>
      <c r="R16" s="139">
        <f t="shared" ref="R16:R20" si="4">SUM(F16:Q16)</f>
        <v>5123.95</v>
      </c>
      <c r="S16" s="139">
        <f t="shared" ref="S16:S20" si="5">SUM(F16)</f>
        <v>0</v>
      </c>
      <c r="T16" s="139">
        <f>SUM($F16:G16)</f>
        <v>0</v>
      </c>
      <c r="U16" s="139">
        <f>SUM($F16:H16)</f>
        <v>0</v>
      </c>
      <c r="V16" s="139">
        <f>SUM($F16:I16)</f>
        <v>0</v>
      </c>
      <c r="W16" s="139">
        <f>SUM($F16:J16)</f>
        <v>0</v>
      </c>
      <c r="X16" s="139">
        <f>SUM($F16:K16)</f>
        <v>0</v>
      </c>
      <c r="Y16" s="139">
        <f>SUM($F16:L16)</f>
        <v>0</v>
      </c>
      <c r="Z16" s="139">
        <f>SUM($F16:M16)</f>
        <v>0</v>
      </c>
      <c r="AA16" s="139">
        <f>SUM($F16:N16)</f>
        <v>4692.96</v>
      </c>
      <c r="AB16" s="139">
        <f>SUM($F16:O16)</f>
        <v>5123.95</v>
      </c>
      <c r="AC16" s="139">
        <f>SUM($F16:P16)</f>
        <v>5123.95</v>
      </c>
      <c r="AD16" s="139">
        <f>SUM($F16:Q16)</f>
        <v>5123.95</v>
      </c>
    </row>
    <row r="17" spans="1:30" x14ac:dyDescent="0.25">
      <c r="A17" s="106">
        <v>12</v>
      </c>
      <c r="C17" s="1" t="s">
        <v>8</v>
      </c>
      <c r="E17" s="101"/>
      <c r="F17" s="138"/>
      <c r="G17" s="138"/>
      <c r="H17" s="138"/>
      <c r="I17" s="138"/>
      <c r="J17" s="138"/>
      <c r="K17" s="138"/>
      <c r="L17" s="138"/>
      <c r="M17" s="138"/>
      <c r="N17" s="138">
        <v>1384</v>
      </c>
      <c r="O17" s="138">
        <v>3825</v>
      </c>
      <c r="P17" s="138"/>
      <c r="Q17" s="138"/>
      <c r="R17" s="139">
        <f t="shared" si="4"/>
        <v>5209</v>
      </c>
      <c r="S17" s="139">
        <f t="shared" si="5"/>
        <v>0</v>
      </c>
      <c r="T17" s="139">
        <f>SUM($F17:G17)</f>
        <v>0</v>
      </c>
      <c r="U17" s="139">
        <f>SUM($F17:H17)</f>
        <v>0</v>
      </c>
      <c r="V17" s="139">
        <f>SUM($F17:I17)</f>
        <v>0</v>
      </c>
      <c r="W17" s="139">
        <f>SUM($F17:J17)</f>
        <v>0</v>
      </c>
      <c r="X17" s="139">
        <f>SUM($F17:K17)</f>
        <v>0</v>
      </c>
      <c r="Y17" s="139">
        <f>SUM($F17:L17)</f>
        <v>0</v>
      </c>
      <c r="Z17" s="139">
        <f>SUM($F17:M17)</f>
        <v>0</v>
      </c>
      <c r="AA17" s="139">
        <f>SUM($F17:N17)</f>
        <v>1384</v>
      </c>
      <c r="AB17" s="139">
        <f>SUM($F17:O17)</f>
        <v>5209</v>
      </c>
      <c r="AC17" s="139">
        <f>SUM($F17:P17)</f>
        <v>5209</v>
      </c>
      <c r="AD17" s="139">
        <f>SUM($F17:Q17)</f>
        <v>5209</v>
      </c>
    </row>
    <row r="18" spans="1:30" x14ac:dyDescent="0.25">
      <c r="A18" s="106">
        <v>13</v>
      </c>
      <c r="C18" s="1" t="s">
        <v>10</v>
      </c>
      <c r="E18" s="101"/>
      <c r="F18" s="138"/>
      <c r="G18" s="138"/>
      <c r="H18" s="138"/>
      <c r="I18" s="138"/>
      <c r="J18" s="138"/>
      <c r="K18" s="138"/>
      <c r="L18" s="138"/>
      <c r="M18" s="138"/>
      <c r="N18" s="138">
        <v>0</v>
      </c>
      <c r="O18" s="138">
        <v>0</v>
      </c>
      <c r="P18" s="138"/>
      <c r="Q18" s="138"/>
      <c r="R18" s="139">
        <f t="shared" si="4"/>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0" x14ac:dyDescent="0.25">
      <c r="A19" s="106">
        <v>14</v>
      </c>
      <c r="C19" s="1" t="s">
        <v>12</v>
      </c>
      <c r="E19" s="101"/>
      <c r="F19" s="138"/>
      <c r="G19" s="138"/>
      <c r="H19" s="138"/>
      <c r="I19" s="138"/>
      <c r="J19" s="138"/>
      <c r="K19" s="138"/>
      <c r="L19" s="138"/>
      <c r="M19" s="138"/>
      <c r="N19" s="138">
        <v>3.69</v>
      </c>
      <c r="O19" s="138">
        <v>0</v>
      </c>
      <c r="P19" s="138"/>
      <c r="Q19" s="138"/>
      <c r="R19" s="139">
        <f t="shared" si="4"/>
        <v>3.69</v>
      </c>
      <c r="S19" s="139">
        <f t="shared" si="5"/>
        <v>0</v>
      </c>
      <c r="T19" s="139">
        <f>SUM($F19:G19)</f>
        <v>0</v>
      </c>
      <c r="U19" s="139">
        <f>SUM($F19:H19)</f>
        <v>0</v>
      </c>
      <c r="V19" s="139">
        <f>SUM($F19:I19)</f>
        <v>0</v>
      </c>
      <c r="W19" s="139">
        <f>SUM($F19:J19)</f>
        <v>0</v>
      </c>
      <c r="X19" s="139">
        <f>SUM($F19:K19)</f>
        <v>0</v>
      </c>
      <c r="Y19" s="139">
        <f>SUM($F19:L19)</f>
        <v>0</v>
      </c>
      <c r="Z19" s="139">
        <f>SUM($F19:M19)</f>
        <v>0</v>
      </c>
      <c r="AA19" s="139">
        <f>SUM($F19:N19)</f>
        <v>3.69</v>
      </c>
      <c r="AB19" s="139">
        <f>SUM($F19:O19)</f>
        <v>3.69</v>
      </c>
      <c r="AC19" s="139">
        <f>SUM($F19:P19)</f>
        <v>3.69</v>
      </c>
      <c r="AD19" s="139">
        <f>SUM($F19:Q19)</f>
        <v>3.69</v>
      </c>
    </row>
    <row r="20" spans="1:30" x14ac:dyDescent="0.25">
      <c r="A20" s="106">
        <v>15</v>
      </c>
      <c r="C20" s="1" t="s">
        <v>142</v>
      </c>
      <c r="E20" s="101"/>
      <c r="F20" s="138"/>
      <c r="G20" s="138"/>
      <c r="H20" s="138"/>
      <c r="I20" s="138"/>
      <c r="J20" s="138"/>
      <c r="K20" s="138"/>
      <c r="L20" s="138"/>
      <c r="M20" s="138"/>
      <c r="N20" s="138">
        <v>25</v>
      </c>
      <c r="O20" s="138">
        <v>-25</v>
      </c>
      <c r="P20" s="138"/>
      <c r="Q20" s="138"/>
      <c r="R20" s="139">
        <f t="shared" si="4"/>
        <v>0</v>
      </c>
      <c r="S20" s="139">
        <f t="shared" si="5"/>
        <v>0</v>
      </c>
      <c r="T20" s="139">
        <f>SUM($F20:G20)</f>
        <v>0</v>
      </c>
      <c r="U20" s="139">
        <f>SUM($F20:H20)</f>
        <v>0</v>
      </c>
      <c r="V20" s="139">
        <f>SUM($F20:I20)</f>
        <v>0</v>
      </c>
      <c r="W20" s="139">
        <f>SUM($F20:J20)</f>
        <v>0</v>
      </c>
      <c r="X20" s="139">
        <f>SUM($F20:K20)</f>
        <v>0</v>
      </c>
      <c r="Y20" s="139">
        <f>SUM($F20:L20)</f>
        <v>0</v>
      </c>
      <c r="Z20" s="139">
        <f>SUM($F20:M20)</f>
        <v>0</v>
      </c>
      <c r="AA20" s="139">
        <f>SUM($F20:N20)</f>
        <v>25</v>
      </c>
      <c r="AB20" s="139">
        <f>SUM($F20:O20)</f>
        <v>0</v>
      </c>
      <c r="AC20" s="139">
        <f>SUM($F20:P20)</f>
        <v>0</v>
      </c>
      <c r="AD20" s="139">
        <f>SUM($F20:Q20)</f>
        <v>0</v>
      </c>
    </row>
    <row r="21" spans="1:30" x14ac:dyDescent="0.25">
      <c r="A21" s="106">
        <v>16</v>
      </c>
      <c r="B21" s="15" t="s">
        <v>11</v>
      </c>
      <c r="C21" s="15"/>
      <c r="D21" s="15"/>
      <c r="E21" s="90"/>
      <c r="F21" s="140">
        <f t="shared" ref="F21:Q21" si="6">SUM(F16:F20)</f>
        <v>0</v>
      </c>
      <c r="G21" s="140">
        <f t="shared" si="6"/>
        <v>0</v>
      </c>
      <c r="H21" s="140">
        <f t="shared" si="6"/>
        <v>0</v>
      </c>
      <c r="I21" s="140">
        <f t="shared" si="6"/>
        <v>0</v>
      </c>
      <c r="J21" s="140">
        <f t="shared" si="6"/>
        <v>0</v>
      </c>
      <c r="K21" s="140">
        <f t="shared" si="6"/>
        <v>0</v>
      </c>
      <c r="L21" s="140">
        <f t="shared" si="6"/>
        <v>0</v>
      </c>
      <c r="M21" s="140">
        <f t="shared" si="6"/>
        <v>0</v>
      </c>
      <c r="N21" s="140">
        <f t="shared" si="6"/>
        <v>6105.65</v>
      </c>
      <c r="O21" s="140">
        <f t="shared" si="6"/>
        <v>4230.99</v>
      </c>
      <c r="P21" s="140">
        <f t="shared" si="6"/>
        <v>0</v>
      </c>
      <c r="Q21" s="140">
        <f t="shared" si="6"/>
        <v>0</v>
      </c>
      <c r="R21" s="140">
        <f>SUM(R16:R20)</f>
        <v>10336.640000000001</v>
      </c>
      <c r="S21" s="140">
        <f t="shared" ref="S21:AD21" si="7">SUM(S16:S20)</f>
        <v>0</v>
      </c>
      <c r="T21" s="140">
        <f t="shared" si="7"/>
        <v>0</v>
      </c>
      <c r="U21" s="140">
        <f t="shared" si="7"/>
        <v>0</v>
      </c>
      <c r="V21" s="140">
        <f t="shared" si="7"/>
        <v>0</v>
      </c>
      <c r="W21" s="140">
        <f t="shared" si="7"/>
        <v>0</v>
      </c>
      <c r="X21" s="140">
        <f t="shared" si="7"/>
        <v>0</v>
      </c>
      <c r="Y21" s="140">
        <f t="shared" si="7"/>
        <v>0</v>
      </c>
      <c r="Z21" s="140">
        <f t="shared" si="7"/>
        <v>0</v>
      </c>
      <c r="AA21" s="140">
        <f t="shared" si="7"/>
        <v>6105.65</v>
      </c>
      <c r="AB21" s="140">
        <f t="shared" si="7"/>
        <v>10336.640000000001</v>
      </c>
      <c r="AC21" s="140">
        <f t="shared" si="7"/>
        <v>10336.640000000001</v>
      </c>
      <c r="AD21" s="140">
        <f t="shared" si="7"/>
        <v>10336.640000000001</v>
      </c>
    </row>
    <row r="22" spans="1:30" x14ac:dyDescent="0.25">
      <c r="A22" s="106">
        <v>17</v>
      </c>
      <c r="B22" s="15" t="s">
        <v>14</v>
      </c>
      <c r="C22" s="15"/>
      <c r="D22" s="15"/>
      <c r="E22" s="90"/>
      <c r="F22" s="140">
        <f t="shared" ref="F22:Q22" si="8">+F13+F21</f>
        <v>0</v>
      </c>
      <c r="G22" s="140">
        <f t="shared" si="8"/>
        <v>0</v>
      </c>
      <c r="H22" s="140">
        <f t="shared" si="8"/>
        <v>0</v>
      </c>
      <c r="I22" s="140">
        <f t="shared" si="8"/>
        <v>0</v>
      </c>
      <c r="J22" s="140">
        <f t="shared" si="8"/>
        <v>0</v>
      </c>
      <c r="K22" s="140">
        <f t="shared" si="8"/>
        <v>0</v>
      </c>
      <c r="L22" s="140">
        <f t="shared" si="8"/>
        <v>0</v>
      </c>
      <c r="M22" s="140">
        <f t="shared" si="8"/>
        <v>0</v>
      </c>
      <c r="N22" s="140">
        <f t="shared" si="8"/>
        <v>432199.84</v>
      </c>
      <c r="O22" s="140">
        <f t="shared" si="8"/>
        <v>38270.99</v>
      </c>
      <c r="P22" s="140">
        <f t="shared" si="8"/>
        <v>0</v>
      </c>
      <c r="Q22" s="140">
        <f t="shared" si="8"/>
        <v>0</v>
      </c>
      <c r="R22" s="140">
        <f>+R13+R21</f>
        <v>470470.83</v>
      </c>
      <c r="S22" s="140">
        <f t="shared" ref="S22:AD22" si="9">+S13+S21</f>
        <v>0</v>
      </c>
      <c r="T22" s="140">
        <f t="shared" si="9"/>
        <v>0</v>
      </c>
      <c r="U22" s="140">
        <f t="shared" si="9"/>
        <v>0</v>
      </c>
      <c r="V22" s="140">
        <f t="shared" si="9"/>
        <v>0</v>
      </c>
      <c r="W22" s="140">
        <f t="shared" si="9"/>
        <v>0</v>
      </c>
      <c r="X22" s="140">
        <f t="shared" si="9"/>
        <v>0</v>
      </c>
      <c r="Y22" s="140">
        <f t="shared" si="9"/>
        <v>0</v>
      </c>
      <c r="Z22" s="140">
        <f t="shared" si="9"/>
        <v>0</v>
      </c>
      <c r="AA22" s="140">
        <f t="shared" si="9"/>
        <v>432199.84</v>
      </c>
      <c r="AB22" s="140">
        <f t="shared" si="9"/>
        <v>470470.83</v>
      </c>
      <c r="AC22" s="140">
        <f t="shared" si="9"/>
        <v>470470.83</v>
      </c>
      <c r="AD22" s="140">
        <f t="shared" si="9"/>
        <v>470470.83</v>
      </c>
    </row>
    <row r="23" spans="1:30" ht="6" customHeight="1" x14ac:dyDescent="0.25">
      <c r="A23" s="106">
        <v>18</v>
      </c>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row>
    <row r="24" spans="1:30" ht="18.75" x14ac:dyDescent="0.25">
      <c r="A24" s="106">
        <v>19</v>
      </c>
      <c r="B24" s="11" t="s">
        <v>15</v>
      </c>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row>
    <row r="25" spans="1:30" ht="18.75" x14ac:dyDescent="0.25">
      <c r="A25" s="106">
        <v>20</v>
      </c>
      <c r="B25" s="11" t="s">
        <v>137</v>
      </c>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row>
    <row r="26" spans="1:30" x14ac:dyDescent="0.25">
      <c r="A26" s="106">
        <v>21</v>
      </c>
      <c r="C26" s="1" t="s">
        <v>17</v>
      </c>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row>
    <row r="27" spans="1:30" x14ac:dyDescent="0.25">
      <c r="A27" s="106">
        <v>22</v>
      </c>
      <c r="C27" s="1" t="s">
        <v>16</v>
      </c>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row>
    <row r="28" spans="1:30" x14ac:dyDescent="0.25">
      <c r="A28" s="106">
        <v>23</v>
      </c>
      <c r="C28" s="1" t="s">
        <v>18</v>
      </c>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row>
    <row r="29" spans="1:30" x14ac:dyDescent="0.25">
      <c r="A29" s="106">
        <v>24</v>
      </c>
      <c r="C29" s="1" t="s">
        <v>19</v>
      </c>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row>
    <row r="30" spans="1:30" x14ac:dyDescent="0.25">
      <c r="A30" s="106">
        <v>25</v>
      </c>
      <c r="C30" s="1" t="s">
        <v>17</v>
      </c>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row>
    <row r="31" spans="1:30" s="5" customFormat="1" x14ac:dyDescent="0.25">
      <c r="A31" s="106">
        <v>26</v>
      </c>
      <c r="B31" s="18"/>
      <c r="C31" s="19" t="s">
        <v>138</v>
      </c>
      <c r="D31" s="18"/>
      <c r="E31" s="91"/>
      <c r="F31" s="141"/>
      <c r="G31" s="141"/>
      <c r="H31" s="141"/>
      <c r="I31" s="141"/>
      <c r="J31" s="141"/>
      <c r="K31" s="141"/>
      <c r="L31" s="141"/>
      <c r="M31" s="141"/>
      <c r="N31" s="141">
        <v>37377.47</v>
      </c>
      <c r="O31" s="141">
        <v>2718.33</v>
      </c>
      <c r="P31" s="141"/>
      <c r="Q31" s="141"/>
      <c r="R31" s="142">
        <f>SUM(F31:Q31)</f>
        <v>40095.800000000003</v>
      </c>
      <c r="S31" s="143">
        <f>SUM(F31)</f>
        <v>0</v>
      </c>
      <c r="T31" s="143">
        <f>SUM($F31:G31)</f>
        <v>0</v>
      </c>
      <c r="U31" s="143">
        <f>SUM($F31:H31)</f>
        <v>0</v>
      </c>
      <c r="V31" s="143">
        <f>SUM($F31:I31)</f>
        <v>0</v>
      </c>
      <c r="W31" s="143">
        <f>SUM($F31:J31)</f>
        <v>0</v>
      </c>
      <c r="X31" s="143">
        <f>SUM($F31:K31)</f>
        <v>0</v>
      </c>
      <c r="Y31" s="143">
        <f>SUM($F31:L31)</f>
        <v>0</v>
      </c>
      <c r="Z31" s="143">
        <f>SUM($F31:M31)</f>
        <v>0</v>
      </c>
      <c r="AA31" s="143">
        <f>SUM($F31:N31)</f>
        <v>37377.47</v>
      </c>
      <c r="AB31" s="143">
        <f>SUM($F31:O31)</f>
        <v>40095.800000000003</v>
      </c>
      <c r="AC31" s="143">
        <f>SUM($F31:P31)</f>
        <v>40095.800000000003</v>
      </c>
      <c r="AD31" s="143">
        <f>SUM($F31:Q31)</f>
        <v>40095.800000000003</v>
      </c>
    </row>
    <row r="32" spans="1:30" s="5" customFormat="1" ht="6.75" customHeight="1" x14ac:dyDescent="0.25">
      <c r="A32" s="106">
        <v>27</v>
      </c>
      <c r="B32" s="22"/>
      <c r="C32" s="23"/>
      <c r="D32" s="22"/>
      <c r="E32" s="92"/>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row>
    <row r="34" spans="1:30" x14ac:dyDescent="0.25">
      <c r="A34" s="106">
        <v>29</v>
      </c>
      <c r="B34" s="5" t="s">
        <v>20</v>
      </c>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row>
    <row r="35" spans="1:30" x14ac:dyDescent="0.25">
      <c r="A35" s="106">
        <v>30</v>
      </c>
      <c r="C35" s="1" t="s">
        <v>119</v>
      </c>
      <c r="E35" s="101"/>
      <c r="F35" s="138"/>
      <c r="G35" s="138"/>
      <c r="H35" s="138"/>
      <c r="I35" s="138"/>
      <c r="J35" s="138"/>
      <c r="K35" s="138"/>
      <c r="L35" s="138"/>
      <c r="M35" s="138"/>
      <c r="N35" s="138">
        <v>1094.83</v>
      </c>
      <c r="O35" s="138">
        <v>379.47</v>
      </c>
      <c r="P35" s="138"/>
      <c r="Q35" s="138"/>
      <c r="R35" s="139">
        <f t="shared" ref="R35:R40" si="10">SUM(F35:Q35)</f>
        <v>1474.3</v>
      </c>
      <c r="S35" s="139">
        <f t="shared" ref="S35:S40" si="11">SUM(F35)</f>
        <v>0</v>
      </c>
      <c r="T35" s="139">
        <f>SUM($F35:G35)</f>
        <v>0</v>
      </c>
      <c r="U35" s="139">
        <f>SUM($F35:H35)</f>
        <v>0</v>
      </c>
      <c r="V35" s="139">
        <f>SUM($F35:I35)</f>
        <v>0</v>
      </c>
      <c r="W35" s="139">
        <f>SUM($F35:J35)</f>
        <v>0</v>
      </c>
      <c r="X35" s="139">
        <f>SUM($F35:K35)</f>
        <v>0</v>
      </c>
      <c r="Y35" s="139">
        <f>SUM($F35:L35)</f>
        <v>0</v>
      </c>
      <c r="Z35" s="139">
        <f>SUM($F35:M35)</f>
        <v>0</v>
      </c>
      <c r="AA35" s="139">
        <f>SUM($F35:N35)</f>
        <v>1094.83</v>
      </c>
      <c r="AB35" s="139">
        <f>SUM($F35:O35)</f>
        <v>1474.3</v>
      </c>
      <c r="AC35" s="139">
        <f>SUM($F35:P35)</f>
        <v>1474.3</v>
      </c>
      <c r="AD35" s="139">
        <f>SUM($F35:Q35)</f>
        <v>1474.3</v>
      </c>
    </row>
    <row r="36" spans="1:30" x14ac:dyDescent="0.25">
      <c r="A36" s="106">
        <v>31</v>
      </c>
      <c r="C36" s="1" t="s">
        <v>21</v>
      </c>
      <c r="E36" s="101"/>
      <c r="F36" s="138"/>
      <c r="G36" s="138"/>
      <c r="H36" s="138"/>
      <c r="I36" s="138"/>
      <c r="J36" s="138"/>
      <c r="K36" s="138"/>
      <c r="L36" s="138"/>
      <c r="M36" s="138"/>
      <c r="N36" s="138">
        <v>332.11</v>
      </c>
      <c r="O36" s="138">
        <v>203.66</v>
      </c>
      <c r="P36" s="138"/>
      <c r="Q36" s="138"/>
      <c r="R36" s="139">
        <f t="shared" si="10"/>
        <v>535.77</v>
      </c>
      <c r="S36" s="139">
        <f t="shared" si="11"/>
        <v>0</v>
      </c>
      <c r="T36" s="139">
        <f>SUM($F36:G36)</f>
        <v>0</v>
      </c>
      <c r="U36" s="139">
        <f>SUM($F36:H36)</f>
        <v>0</v>
      </c>
      <c r="V36" s="139">
        <f>SUM($F36:I36)</f>
        <v>0</v>
      </c>
      <c r="W36" s="139">
        <f>SUM($F36:J36)</f>
        <v>0</v>
      </c>
      <c r="X36" s="139">
        <f>SUM($F36:K36)</f>
        <v>0</v>
      </c>
      <c r="Y36" s="139">
        <f>SUM($F36:L36)</f>
        <v>0</v>
      </c>
      <c r="Z36" s="139">
        <f>SUM($F36:M36)</f>
        <v>0</v>
      </c>
      <c r="AA36" s="139">
        <f>SUM($F36:N36)</f>
        <v>332.11</v>
      </c>
      <c r="AB36" s="139">
        <f>SUM($F36:O36)</f>
        <v>535.77</v>
      </c>
      <c r="AC36" s="139">
        <f>SUM($F36:P36)</f>
        <v>535.77</v>
      </c>
      <c r="AD36" s="139">
        <f>SUM($F36:Q36)</f>
        <v>535.77</v>
      </c>
    </row>
    <row r="37" spans="1:30" x14ac:dyDescent="0.25">
      <c r="A37" s="106">
        <v>32</v>
      </c>
      <c r="C37" s="1" t="s">
        <v>22</v>
      </c>
      <c r="E37" s="100"/>
      <c r="F37" s="138"/>
      <c r="G37" s="138"/>
      <c r="H37" s="138"/>
      <c r="I37" s="138"/>
      <c r="J37" s="138"/>
      <c r="K37" s="138"/>
      <c r="L37" s="138"/>
      <c r="M37" s="138"/>
      <c r="N37" s="138">
        <v>795.86</v>
      </c>
      <c r="O37" s="138">
        <v>0</v>
      </c>
      <c r="P37" s="138"/>
      <c r="Q37" s="138"/>
      <c r="R37" s="139">
        <f t="shared" si="10"/>
        <v>795.86</v>
      </c>
      <c r="S37" s="139">
        <f t="shared" si="11"/>
        <v>0</v>
      </c>
      <c r="T37" s="139">
        <f>SUM($F37:G37)</f>
        <v>0</v>
      </c>
      <c r="U37" s="139">
        <f>SUM($F37:H37)</f>
        <v>0</v>
      </c>
      <c r="V37" s="139">
        <f>SUM($F37:I37)</f>
        <v>0</v>
      </c>
      <c r="W37" s="139">
        <f>SUM($F37:J37)</f>
        <v>0</v>
      </c>
      <c r="X37" s="139">
        <f>SUM($F37:K37)</f>
        <v>0</v>
      </c>
      <c r="Y37" s="139">
        <f>SUM($F37:L37)</f>
        <v>0</v>
      </c>
      <c r="Z37" s="139">
        <f>SUM($F37:M37)</f>
        <v>0</v>
      </c>
      <c r="AA37" s="139">
        <f>SUM($F37:N37)</f>
        <v>795.86</v>
      </c>
      <c r="AB37" s="139">
        <f>SUM($F37:O37)</f>
        <v>795.86</v>
      </c>
      <c r="AC37" s="139">
        <f>SUM($F37:P37)</f>
        <v>795.86</v>
      </c>
      <c r="AD37" s="139">
        <f>SUM($F37:Q37)</f>
        <v>795.86</v>
      </c>
    </row>
    <row r="38" spans="1:30" x14ac:dyDescent="0.25">
      <c r="A38" s="106">
        <v>33</v>
      </c>
      <c r="C38" s="1" t="s">
        <v>23</v>
      </c>
      <c r="E38" s="101"/>
      <c r="F38" s="138"/>
      <c r="G38" s="138"/>
      <c r="H38" s="138"/>
      <c r="I38" s="138"/>
      <c r="J38" s="138"/>
      <c r="K38" s="138"/>
      <c r="L38" s="138"/>
      <c r="M38" s="138"/>
      <c r="N38" s="138">
        <v>0</v>
      </c>
      <c r="O38" s="138">
        <v>498.62</v>
      </c>
      <c r="P38" s="138"/>
      <c r="Q38" s="138"/>
      <c r="R38" s="139">
        <f t="shared" si="10"/>
        <v>498.62</v>
      </c>
      <c r="S38" s="139">
        <f t="shared" si="11"/>
        <v>0</v>
      </c>
      <c r="T38" s="139">
        <f>SUM($F38:G38)</f>
        <v>0</v>
      </c>
      <c r="U38" s="139">
        <f>SUM($F38:H38)</f>
        <v>0</v>
      </c>
      <c r="V38" s="139">
        <f>SUM($F38:I38)</f>
        <v>0</v>
      </c>
      <c r="W38" s="139">
        <f>SUM($F38:J38)</f>
        <v>0</v>
      </c>
      <c r="X38" s="139">
        <f>SUM($F38:K38)</f>
        <v>0</v>
      </c>
      <c r="Y38" s="139">
        <f>SUM($F38:L38)</f>
        <v>0</v>
      </c>
      <c r="Z38" s="139">
        <f>SUM($F38:M38)</f>
        <v>0</v>
      </c>
      <c r="AA38" s="139">
        <f>SUM($F38:N38)</f>
        <v>0</v>
      </c>
      <c r="AB38" s="139">
        <f>SUM($F38:O38)</f>
        <v>498.62</v>
      </c>
      <c r="AC38" s="139">
        <f>SUM($F38:P38)</f>
        <v>498.62</v>
      </c>
      <c r="AD38" s="139">
        <f>SUM($F38:Q38)</f>
        <v>498.62</v>
      </c>
    </row>
    <row r="39" spans="1:30" x14ac:dyDescent="0.25">
      <c r="A39" s="106">
        <v>34</v>
      </c>
      <c r="C39" s="1" t="s">
        <v>24</v>
      </c>
      <c r="E39" s="100"/>
      <c r="F39" s="138"/>
      <c r="G39" s="138"/>
      <c r="H39" s="138"/>
      <c r="I39" s="138"/>
      <c r="J39" s="138"/>
      <c r="K39" s="138"/>
      <c r="L39" s="138"/>
      <c r="M39" s="138"/>
      <c r="N39" s="138">
        <v>90.07</v>
      </c>
      <c r="O39" s="138">
        <v>0</v>
      </c>
      <c r="P39" s="138"/>
      <c r="Q39" s="138"/>
      <c r="R39" s="139">
        <f t="shared" si="10"/>
        <v>90.07</v>
      </c>
      <c r="S39" s="139">
        <f t="shared" si="11"/>
        <v>0</v>
      </c>
      <c r="T39" s="139">
        <f>SUM($F39:G39)</f>
        <v>0</v>
      </c>
      <c r="U39" s="139">
        <f>SUM($F39:H39)</f>
        <v>0</v>
      </c>
      <c r="V39" s="139">
        <f>SUM($F39:I39)</f>
        <v>0</v>
      </c>
      <c r="W39" s="139">
        <f>SUM($F39:J39)</f>
        <v>0</v>
      </c>
      <c r="X39" s="139">
        <f>SUM($F39:K39)</f>
        <v>0</v>
      </c>
      <c r="Y39" s="139">
        <f>SUM($F39:L39)</f>
        <v>0</v>
      </c>
      <c r="Z39" s="139">
        <f>SUM($F39:M39)</f>
        <v>0</v>
      </c>
      <c r="AA39" s="139">
        <f>SUM($F39:N39)</f>
        <v>90.07</v>
      </c>
      <c r="AB39" s="139">
        <f>SUM($F39:O39)</f>
        <v>90.07</v>
      </c>
      <c r="AC39" s="139">
        <f>SUM($F39:P39)</f>
        <v>90.07</v>
      </c>
      <c r="AD39" s="139">
        <f>SUM($F39:Q39)</f>
        <v>90.07</v>
      </c>
    </row>
    <row r="40" spans="1:30" x14ac:dyDescent="0.25">
      <c r="A40" s="106">
        <v>35</v>
      </c>
      <c r="C40" s="1" t="s">
        <v>124</v>
      </c>
      <c r="E40" s="101"/>
      <c r="F40" s="138"/>
      <c r="G40" s="138"/>
      <c r="H40" s="138"/>
      <c r="I40" s="138"/>
      <c r="J40" s="138"/>
      <c r="K40" s="138"/>
      <c r="L40" s="138"/>
      <c r="M40" s="138"/>
      <c r="N40" s="138">
        <v>0</v>
      </c>
      <c r="O40" s="138">
        <v>742.81</v>
      </c>
      <c r="P40" s="138"/>
      <c r="Q40" s="138"/>
      <c r="R40" s="139">
        <f t="shared" si="10"/>
        <v>742.81</v>
      </c>
      <c r="S40" s="139">
        <f t="shared" si="11"/>
        <v>0</v>
      </c>
      <c r="T40" s="139">
        <f>SUM($F40:G40)</f>
        <v>0</v>
      </c>
      <c r="U40" s="139">
        <f>SUM($F40:H40)</f>
        <v>0</v>
      </c>
      <c r="V40" s="139">
        <f>SUM($F40:I40)</f>
        <v>0</v>
      </c>
      <c r="W40" s="139">
        <f>SUM($F40:J40)</f>
        <v>0</v>
      </c>
      <c r="X40" s="139">
        <f>SUM($F40:K40)</f>
        <v>0</v>
      </c>
      <c r="Y40" s="139">
        <f>SUM($F40:L40)</f>
        <v>0</v>
      </c>
      <c r="Z40" s="139">
        <f>SUM($F40:M40)</f>
        <v>0</v>
      </c>
      <c r="AA40" s="139">
        <f>SUM($F40:N40)</f>
        <v>0</v>
      </c>
      <c r="AB40" s="139">
        <f>SUM($F40:O40)</f>
        <v>742.81</v>
      </c>
      <c r="AC40" s="139">
        <f>SUM($F40:P40)</f>
        <v>742.81</v>
      </c>
      <c r="AD40" s="139">
        <f>SUM($F40:Q40)</f>
        <v>742.81</v>
      </c>
    </row>
    <row r="41" spans="1:30" s="5" customFormat="1" x14ac:dyDescent="0.25">
      <c r="A41" s="106">
        <v>36</v>
      </c>
      <c r="B41" s="51" t="s">
        <v>25</v>
      </c>
      <c r="C41" s="51"/>
      <c r="D41" s="51"/>
      <c r="E41" s="93"/>
      <c r="F41" s="145">
        <f t="shared" ref="F41:Q41" si="12">SUM(F35:F40)</f>
        <v>0</v>
      </c>
      <c r="G41" s="145">
        <f t="shared" si="12"/>
        <v>0</v>
      </c>
      <c r="H41" s="145">
        <f t="shared" si="12"/>
        <v>0</v>
      </c>
      <c r="I41" s="145">
        <f t="shared" si="12"/>
        <v>0</v>
      </c>
      <c r="J41" s="145">
        <f t="shared" si="12"/>
        <v>0</v>
      </c>
      <c r="K41" s="145">
        <f t="shared" si="12"/>
        <v>0</v>
      </c>
      <c r="L41" s="145">
        <f t="shared" si="12"/>
        <v>0</v>
      </c>
      <c r="M41" s="145">
        <f t="shared" si="12"/>
        <v>0</v>
      </c>
      <c r="N41" s="145">
        <f t="shared" si="12"/>
        <v>2312.8700000000003</v>
      </c>
      <c r="O41" s="145">
        <f t="shared" si="12"/>
        <v>1824.56</v>
      </c>
      <c r="P41" s="145">
        <f t="shared" si="12"/>
        <v>0</v>
      </c>
      <c r="Q41" s="145">
        <f t="shared" si="12"/>
        <v>0</v>
      </c>
      <c r="R41" s="145">
        <f>SUM(R35:R40)</f>
        <v>4137.43</v>
      </c>
      <c r="S41" s="145">
        <f t="shared" ref="S41:AD41" si="13">SUM(S35:S40)</f>
        <v>0</v>
      </c>
      <c r="T41" s="145">
        <f t="shared" si="13"/>
        <v>0</v>
      </c>
      <c r="U41" s="145">
        <f t="shared" si="13"/>
        <v>0</v>
      </c>
      <c r="V41" s="145">
        <f t="shared" si="13"/>
        <v>0</v>
      </c>
      <c r="W41" s="145">
        <f t="shared" si="13"/>
        <v>0</v>
      </c>
      <c r="X41" s="145">
        <f t="shared" si="13"/>
        <v>0</v>
      </c>
      <c r="Y41" s="145">
        <f t="shared" si="13"/>
        <v>0</v>
      </c>
      <c r="Z41" s="145">
        <f t="shared" si="13"/>
        <v>0</v>
      </c>
      <c r="AA41" s="145">
        <f t="shared" si="13"/>
        <v>2312.8700000000003</v>
      </c>
      <c r="AB41" s="145">
        <f t="shared" si="13"/>
        <v>4137.43</v>
      </c>
      <c r="AC41" s="145">
        <f t="shared" si="13"/>
        <v>4137.43</v>
      </c>
      <c r="AD41" s="145">
        <f t="shared" si="13"/>
        <v>4137.43</v>
      </c>
    </row>
    <row r="42" spans="1:30" ht="6" customHeight="1" x14ac:dyDescent="0.25">
      <c r="A42" s="106">
        <v>37</v>
      </c>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row>
    <row r="43" spans="1:30" x14ac:dyDescent="0.25">
      <c r="A43" s="106">
        <v>38</v>
      </c>
      <c r="B43" s="51" t="s">
        <v>26</v>
      </c>
      <c r="C43" s="51"/>
      <c r="D43" s="51"/>
      <c r="E43" s="102"/>
      <c r="F43" s="146"/>
      <c r="G43" s="146"/>
      <c r="H43" s="146"/>
      <c r="I43" s="146"/>
      <c r="J43" s="146"/>
      <c r="K43" s="146"/>
      <c r="L43" s="146"/>
      <c r="M43" s="146"/>
      <c r="N43" s="146">
        <v>733.63</v>
      </c>
      <c r="O43" s="146">
        <v>-33.04</v>
      </c>
      <c r="P43" s="146"/>
      <c r="Q43" s="146"/>
      <c r="R43" s="147">
        <f>SUM(F43:Q43)</f>
        <v>700.59</v>
      </c>
      <c r="S43" s="147">
        <f t="shared" ref="S43" si="14">SUM(F43)</f>
        <v>0</v>
      </c>
      <c r="T43" s="147">
        <f>SUM($F43:G43)</f>
        <v>0</v>
      </c>
      <c r="U43" s="147">
        <f>SUM($F43:H43)</f>
        <v>0</v>
      </c>
      <c r="V43" s="147">
        <f>SUM($F43:I43)</f>
        <v>0</v>
      </c>
      <c r="W43" s="147">
        <f>SUM($F43:J43)</f>
        <v>0</v>
      </c>
      <c r="X43" s="147">
        <f>SUM($F43:K43)</f>
        <v>0</v>
      </c>
      <c r="Y43" s="147">
        <f>SUM($F43:L43)</f>
        <v>0</v>
      </c>
      <c r="Z43" s="147">
        <f>SUM($F43:M43)</f>
        <v>0</v>
      </c>
      <c r="AA43" s="147">
        <f>SUM($F43:N43)</f>
        <v>733.63</v>
      </c>
      <c r="AB43" s="147">
        <f>SUM($F43:O43)</f>
        <v>700.59</v>
      </c>
      <c r="AC43" s="147">
        <f>SUM($F43:P43)</f>
        <v>700.59</v>
      </c>
      <c r="AD43" s="147">
        <f>SUM($F43:Q43)</f>
        <v>700.59</v>
      </c>
    </row>
    <row r="44" spans="1:30" ht="7.5" customHeight="1" x14ac:dyDescent="0.25">
      <c r="A44" s="106">
        <v>39</v>
      </c>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row>
    <row r="45" spans="1:30" x14ac:dyDescent="0.25">
      <c r="A45" s="106">
        <v>40</v>
      </c>
      <c r="B45" s="5" t="s">
        <v>27</v>
      </c>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1:30" x14ac:dyDescent="0.25">
      <c r="A46" s="106">
        <v>41</v>
      </c>
      <c r="C46" s="1" t="s">
        <v>29</v>
      </c>
      <c r="E46" s="101"/>
      <c r="F46" s="138"/>
      <c r="G46" s="138"/>
      <c r="H46" s="138"/>
      <c r="I46" s="138"/>
      <c r="J46" s="138"/>
      <c r="K46" s="138"/>
      <c r="L46" s="138"/>
      <c r="M46" s="138"/>
      <c r="N46" s="138">
        <v>4052.37</v>
      </c>
      <c r="O46" s="138">
        <v>529.65</v>
      </c>
      <c r="P46" s="138"/>
      <c r="Q46" s="138"/>
      <c r="R46" s="139">
        <f t="shared" ref="R46:R49" si="15">SUM(F46:Q46)</f>
        <v>4582.0199999999995</v>
      </c>
      <c r="S46" s="139">
        <f t="shared" ref="S46:S49" si="16">SUM(F46)</f>
        <v>0</v>
      </c>
      <c r="T46" s="139">
        <f>SUM($F46:G46)</f>
        <v>0</v>
      </c>
      <c r="U46" s="139">
        <f>SUM($F46:H46)</f>
        <v>0</v>
      </c>
      <c r="V46" s="139">
        <f>SUM($F46:I46)</f>
        <v>0</v>
      </c>
      <c r="W46" s="139">
        <f>SUM($F46:J46)</f>
        <v>0</v>
      </c>
      <c r="X46" s="139">
        <f>SUM($F46:K46)</f>
        <v>0</v>
      </c>
      <c r="Y46" s="139">
        <f>SUM($F46:L46)</f>
        <v>0</v>
      </c>
      <c r="Z46" s="139">
        <f>SUM($F46:M46)</f>
        <v>0</v>
      </c>
      <c r="AA46" s="139">
        <f>SUM($F46:N46)</f>
        <v>4052.37</v>
      </c>
      <c r="AB46" s="139">
        <f>SUM($F46:O46)</f>
        <v>4582.0199999999995</v>
      </c>
      <c r="AC46" s="139">
        <f>SUM($F46:P46)</f>
        <v>4582.0199999999995</v>
      </c>
      <c r="AD46" s="139">
        <f>SUM($F46:Q46)</f>
        <v>4582.0199999999995</v>
      </c>
    </row>
    <row r="47" spans="1:30" x14ac:dyDescent="0.25">
      <c r="A47" s="106">
        <v>42</v>
      </c>
      <c r="C47" s="1" t="s">
        <v>203</v>
      </c>
      <c r="E47" s="101"/>
      <c r="F47" s="138"/>
      <c r="G47" s="138"/>
      <c r="H47" s="138"/>
      <c r="I47" s="138"/>
      <c r="J47" s="138"/>
      <c r="K47" s="138"/>
      <c r="L47" s="138"/>
      <c r="M47" s="138"/>
      <c r="N47" s="138">
        <v>900</v>
      </c>
      <c r="O47" s="138">
        <v>100</v>
      </c>
      <c r="P47" s="138"/>
      <c r="Q47" s="138"/>
      <c r="R47" s="139">
        <f t="shared" si="15"/>
        <v>1000</v>
      </c>
      <c r="S47" s="139">
        <f t="shared" si="16"/>
        <v>0</v>
      </c>
      <c r="T47" s="139">
        <f>SUM($F47:G47)</f>
        <v>0</v>
      </c>
      <c r="U47" s="139">
        <f>SUM($F47:H47)</f>
        <v>0</v>
      </c>
      <c r="V47" s="139">
        <f>SUM($F47:I47)</f>
        <v>0</v>
      </c>
      <c r="W47" s="139">
        <f>SUM($F47:J47)</f>
        <v>0</v>
      </c>
      <c r="X47" s="139">
        <f>SUM($F47:K47)</f>
        <v>0</v>
      </c>
      <c r="Y47" s="139">
        <f>SUM($F47:L47)</f>
        <v>0</v>
      </c>
      <c r="Z47" s="139">
        <f>SUM($F47:M47)</f>
        <v>0</v>
      </c>
      <c r="AA47" s="139">
        <f>SUM($F47:N47)</f>
        <v>900</v>
      </c>
      <c r="AB47" s="139">
        <f>SUM($F47:O47)</f>
        <v>1000</v>
      </c>
      <c r="AC47" s="139">
        <f>SUM($F47:P47)</f>
        <v>1000</v>
      </c>
      <c r="AD47" s="139">
        <f>SUM($F47:Q47)</f>
        <v>1000</v>
      </c>
    </row>
    <row r="48" spans="1:30" x14ac:dyDescent="0.25">
      <c r="A48" s="106">
        <v>43</v>
      </c>
      <c r="C48" s="1" t="s">
        <v>31</v>
      </c>
      <c r="E48" s="101"/>
      <c r="F48" s="138"/>
      <c r="G48" s="138"/>
      <c r="H48" s="138"/>
      <c r="I48" s="138"/>
      <c r="J48" s="138"/>
      <c r="K48" s="138"/>
      <c r="L48" s="138"/>
      <c r="M48" s="138"/>
      <c r="N48" s="138">
        <v>730.85</v>
      </c>
      <c r="O48" s="138">
        <v>0</v>
      </c>
      <c r="P48" s="138"/>
      <c r="Q48" s="138"/>
      <c r="R48" s="139">
        <f t="shared" si="15"/>
        <v>730.85</v>
      </c>
      <c r="S48" s="139">
        <f t="shared" si="16"/>
        <v>0</v>
      </c>
      <c r="T48" s="139">
        <f>SUM($F48:G48)</f>
        <v>0</v>
      </c>
      <c r="U48" s="139">
        <f>SUM($F48:H48)</f>
        <v>0</v>
      </c>
      <c r="V48" s="139">
        <f>SUM($F48:I48)</f>
        <v>0</v>
      </c>
      <c r="W48" s="139">
        <f>SUM($F48:J48)</f>
        <v>0</v>
      </c>
      <c r="X48" s="139">
        <f>SUM($F48:K48)</f>
        <v>0</v>
      </c>
      <c r="Y48" s="139">
        <f>SUM($F48:L48)</f>
        <v>0</v>
      </c>
      <c r="Z48" s="139">
        <f>SUM($F48:M48)</f>
        <v>0</v>
      </c>
      <c r="AA48" s="139">
        <f>SUM($F48:N48)</f>
        <v>730.85</v>
      </c>
      <c r="AB48" s="139">
        <f>SUM($F48:O48)</f>
        <v>730.85</v>
      </c>
      <c r="AC48" s="139">
        <f>SUM($F48:P48)</f>
        <v>730.85</v>
      </c>
      <c r="AD48" s="139">
        <f>SUM($F48:Q48)</f>
        <v>730.85</v>
      </c>
    </row>
    <row r="49" spans="1:30" x14ac:dyDescent="0.25">
      <c r="A49" s="106">
        <v>44</v>
      </c>
      <c r="C49" s="1" t="s">
        <v>32</v>
      </c>
      <c r="E49" s="101"/>
      <c r="F49" s="138"/>
      <c r="G49" s="138"/>
      <c r="H49" s="138"/>
      <c r="I49" s="138"/>
      <c r="J49" s="138"/>
      <c r="K49" s="138"/>
      <c r="L49" s="138"/>
      <c r="M49" s="138"/>
      <c r="N49" s="138">
        <v>193</v>
      </c>
      <c r="O49" s="138">
        <v>55.5</v>
      </c>
      <c r="P49" s="138"/>
      <c r="Q49" s="138"/>
      <c r="R49" s="139">
        <f t="shared" si="15"/>
        <v>248.5</v>
      </c>
      <c r="S49" s="139">
        <f t="shared" si="16"/>
        <v>0</v>
      </c>
      <c r="T49" s="139">
        <f>SUM($F49:G49)</f>
        <v>0</v>
      </c>
      <c r="U49" s="139">
        <f>SUM($F49:H49)</f>
        <v>0</v>
      </c>
      <c r="V49" s="139">
        <f>SUM($F49:I49)</f>
        <v>0</v>
      </c>
      <c r="W49" s="139">
        <f>SUM($F49:J49)</f>
        <v>0</v>
      </c>
      <c r="X49" s="139">
        <f>SUM($F49:K49)</f>
        <v>0</v>
      </c>
      <c r="Y49" s="139">
        <f>SUM($F49:L49)</f>
        <v>0</v>
      </c>
      <c r="Z49" s="139">
        <f>SUM($F49:M49)</f>
        <v>0</v>
      </c>
      <c r="AA49" s="139">
        <f>SUM($F49:N49)</f>
        <v>193</v>
      </c>
      <c r="AB49" s="139">
        <f>SUM($F49:O49)</f>
        <v>248.5</v>
      </c>
      <c r="AC49" s="139">
        <f>SUM($F49:P49)</f>
        <v>248.5</v>
      </c>
      <c r="AD49" s="139">
        <f>SUM($F49:Q49)</f>
        <v>248.5</v>
      </c>
    </row>
    <row r="50" spans="1:30" s="5" customFormat="1" x14ac:dyDescent="0.25">
      <c r="A50" s="106">
        <v>45</v>
      </c>
      <c r="B50" s="51" t="s">
        <v>28</v>
      </c>
      <c r="C50" s="51"/>
      <c r="D50" s="51"/>
      <c r="E50" s="93"/>
      <c r="F50" s="145">
        <f t="shared" ref="F50:Q50" si="17">SUM(F46:F49)</f>
        <v>0</v>
      </c>
      <c r="G50" s="145">
        <f t="shared" si="17"/>
        <v>0</v>
      </c>
      <c r="H50" s="145">
        <f t="shared" si="17"/>
        <v>0</v>
      </c>
      <c r="I50" s="145">
        <f t="shared" si="17"/>
        <v>0</v>
      </c>
      <c r="J50" s="145">
        <f t="shared" si="17"/>
        <v>0</v>
      </c>
      <c r="K50" s="145">
        <f t="shared" si="17"/>
        <v>0</v>
      </c>
      <c r="L50" s="145">
        <f t="shared" si="17"/>
        <v>0</v>
      </c>
      <c r="M50" s="145">
        <f t="shared" si="17"/>
        <v>0</v>
      </c>
      <c r="N50" s="145">
        <f t="shared" si="17"/>
        <v>5876.22</v>
      </c>
      <c r="O50" s="145">
        <f t="shared" si="17"/>
        <v>685.15</v>
      </c>
      <c r="P50" s="145">
        <f t="shared" si="17"/>
        <v>0</v>
      </c>
      <c r="Q50" s="145">
        <f t="shared" si="17"/>
        <v>0</v>
      </c>
      <c r="R50" s="145">
        <f>SUM(R46:R49)</f>
        <v>6561.37</v>
      </c>
      <c r="S50" s="145">
        <f t="shared" ref="S50:AD50" si="18">SUM(S46:S49)</f>
        <v>0</v>
      </c>
      <c r="T50" s="145">
        <f t="shared" si="18"/>
        <v>0</v>
      </c>
      <c r="U50" s="145">
        <f t="shared" si="18"/>
        <v>0</v>
      </c>
      <c r="V50" s="145">
        <f t="shared" si="18"/>
        <v>0</v>
      </c>
      <c r="W50" s="145">
        <f t="shared" si="18"/>
        <v>0</v>
      </c>
      <c r="X50" s="145">
        <f t="shared" si="18"/>
        <v>0</v>
      </c>
      <c r="Y50" s="145">
        <f t="shared" si="18"/>
        <v>0</v>
      </c>
      <c r="Z50" s="145">
        <f t="shared" si="18"/>
        <v>0</v>
      </c>
      <c r="AA50" s="145">
        <f t="shared" si="18"/>
        <v>5876.22</v>
      </c>
      <c r="AB50" s="145">
        <f t="shared" si="18"/>
        <v>6561.37</v>
      </c>
      <c r="AC50" s="145">
        <f t="shared" si="18"/>
        <v>6561.37</v>
      </c>
      <c r="AD50" s="145">
        <f t="shared" si="18"/>
        <v>6561.37</v>
      </c>
    </row>
    <row r="51" spans="1:30" ht="6.75" customHeight="1" x14ac:dyDescent="0.25">
      <c r="A51" s="106">
        <v>46</v>
      </c>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row>
    <row r="52" spans="1:30" x14ac:dyDescent="0.25">
      <c r="A52" s="106">
        <v>47</v>
      </c>
      <c r="B52" s="5" t="s">
        <v>33</v>
      </c>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row>
    <row r="53" spans="1:30" x14ac:dyDescent="0.25">
      <c r="A53" s="106">
        <v>48</v>
      </c>
      <c r="C53" s="1" t="s">
        <v>34</v>
      </c>
      <c r="E53" s="101"/>
      <c r="F53" s="138"/>
      <c r="G53" s="138"/>
      <c r="H53" s="138"/>
      <c r="I53" s="138"/>
      <c r="J53" s="138"/>
      <c r="K53" s="138"/>
      <c r="L53" s="138"/>
      <c r="M53" s="138"/>
      <c r="N53" s="138">
        <v>2877.93</v>
      </c>
      <c r="O53" s="138">
        <v>0</v>
      </c>
      <c r="P53" s="138"/>
      <c r="Q53" s="138"/>
      <c r="R53" s="139">
        <f t="shared" ref="R53:R55" si="19">SUM(F53:Q53)</f>
        <v>2877.93</v>
      </c>
      <c r="S53" s="139">
        <f t="shared" ref="S53:S55" si="20">SUM(F53)</f>
        <v>0</v>
      </c>
      <c r="T53" s="139">
        <f>SUM($F53:G53)</f>
        <v>0</v>
      </c>
      <c r="U53" s="139">
        <f>SUM($F53:H53)</f>
        <v>0</v>
      </c>
      <c r="V53" s="139">
        <f>SUM($F53:I53)</f>
        <v>0</v>
      </c>
      <c r="W53" s="139">
        <f>SUM($F53:J53)</f>
        <v>0</v>
      </c>
      <c r="X53" s="139">
        <f>SUM($F53:K53)</f>
        <v>0</v>
      </c>
      <c r="Y53" s="139">
        <f>SUM($F53:L53)</f>
        <v>0</v>
      </c>
      <c r="Z53" s="139">
        <f>SUM($F53:M53)</f>
        <v>0</v>
      </c>
      <c r="AA53" s="139">
        <f>SUM($F53:N53)</f>
        <v>2877.93</v>
      </c>
      <c r="AB53" s="139">
        <f>SUM($F53:O53)</f>
        <v>2877.93</v>
      </c>
      <c r="AC53" s="139">
        <f>SUM($F53:P53)</f>
        <v>2877.93</v>
      </c>
      <c r="AD53" s="139">
        <f>SUM($F53:Q53)</f>
        <v>2877.93</v>
      </c>
    </row>
    <row r="54" spans="1:30" x14ac:dyDescent="0.25">
      <c r="A54" s="106">
        <v>49</v>
      </c>
      <c r="C54" s="1" t="s">
        <v>143</v>
      </c>
      <c r="E54" s="101"/>
      <c r="F54" s="138"/>
      <c r="G54" s="138"/>
      <c r="H54" s="138"/>
      <c r="I54" s="138"/>
      <c r="J54" s="138"/>
      <c r="K54" s="138"/>
      <c r="L54" s="138"/>
      <c r="M54" s="138"/>
      <c r="N54" s="138">
        <v>0</v>
      </c>
      <c r="O54" s="138">
        <v>0</v>
      </c>
      <c r="P54" s="138"/>
      <c r="Q54" s="138"/>
      <c r="R54" s="139">
        <f t="shared" si="19"/>
        <v>0</v>
      </c>
      <c r="S54" s="139">
        <f t="shared" si="2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c r="F55" s="138"/>
      <c r="G55" s="138"/>
      <c r="H55" s="138"/>
      <c r="I55" s="138"/>
      <c r="J55" s="138"/>
      <c r="K55" s="138"/>
      <c r="L55" s="138"/>
      <c r="M55" s="138"/>
      <c r="N55" s="138">
        <v>0</v>
      </c>
      <c r="O55" s="138">
        <v>0</v>
      </c>
      <c r="P55" s="138"/>
      <c r="Q55" s="138"/>
      <c r="R55" s="139">
        <f t="shared" si="19"/>
        <v>0</v>
      </c>
      <c r="S55" s="139">
        <f t="shared" si="2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145">
        <f t="shared" ref="F56:Q56" si="21">SUM(F53:F55)</f>
        <v>0</v>
      </c>
      <c r="G56" s="145">
        <f t="shared" si="21"/>
        <v>0</v>
      </c>
      <c r="H56" s="145">
        <f t="shared" si="21"/>
        <v>0</v>
      </c>
      <c r="I56" s="145">
        <f t="shared" si="21"/>
        <v>0</v>
      </c>
      <c r="J56" s="145">
        <f t="shared" si="21"/>
        <v>0</v>
      </c>
      <c r="K56" s="145">
        <f t="shared" si="21"/>
        <v>0</v>
      </c>
      <c r="L56" s="145">
        <f t="shared" si="21"/>
        <v>0</v>
      </c>
      <c r="M56" s="145">
        <f t="shared" si="21"/>
        <v>0</v>
      </c>
      <c r="N56" s="145">
        <f t="shared" si="21"/>
        <v>2877.93</v>
      </c>
      <c r="O56" s="145">
        <f t="shared" si="21"/>
        <v>0</v>
      </c>
      <c r="P56" s="145">
        <f t="shared" si="21"/>
        <v>0</v>
      </c>
      <c r="Q56" s="145">
        <f t="shared" si="21"/>
        <v>0</v>
      </c>
      <c r="R56" s="145">
        <f>SUM(R53:R55)</f>
        <v>2877.93</v>
      </c>
      <c r="S56" s="145">
        <f t="shared" ref="S56:AD56" si="22">SUM(S53:S55)</f>
        <v>0</v>
      </c>
      <c r="T56" s="145">
        <f t="shared" si="22"/>
        <v>0</v>
      </c>
      <c r="U56" s="145">
        <f t="shared" si="22"/>
        <v>0</v>
      </c>
      <c r="V56" s="145">
        <f t="shared" si="22"/>
        <v>0</v>
      </c>
      <c r="W56" s="145">
        <f t="shared" si="22"/>
        <v>0</v>
      </c>
      <c r="X56" s="145">
        <f t="shared" si="22"/>
        <v>0</v>
      </c>
      <c r="Y56" s="145">
        <f t="shared" si="22"/>
        <v>0</v>
      </c>
      <c r="Z56" s="145">
        <f t="shared" si="22"/>
        <v>0</v>
      </c>
      <c r="AA56" s="145">
        <f t="shared" si="22"/>
        <v>2877.93</v>
      </c>
      <c r="AB56" s="145">
        <f t="shared" si="22"/>
        <v>2877.93</v>
      </c>
      <c r="AC56" s="145">
        <f t="shared" si="22"/>
        <v>2877.93</v>
      </c>
      <c r="AD56" s="145">
        <f t="shared" si="22"/>
        <v>2877.93</v>
      </c>
    </row>
    <row r="57" spans="1:30" ht="6.75" customHeight="1" x14ac:dyDescent="0.25">
      <c r="A57" s="106">
        <v>52</v>
      </c>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row>
    <row r="58" spans="1:30" x14ac:dyDescent="0.25">
      <c r="A58" s="106">
        <v>53</v>
      </c>
      <c r="B58" s="5" t="s">
        <v>141</v>
      </c>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row>
    <row r="59" spans="1:30" x14ac:dyDescent="0.25">
      <c r="A59" s="106">
        <v>54</v>
      </c>
      <c r="C59" s="1" t="s">
        <v>144</v>
      </c>
      <c r="E59" s="101"/>
      <c r="F59" s="138"/>
      <c r="G59" s="138"/>
      <c r="H59" s="138"/>
      <c r="I59" s="138"/>
      <c r="J59" s="138"/>
      <c r="K59" s="138"/>
      <c r="L59" s="138"/>
      <c r="M59" s="138"/>
      <c r="N59" s="138">
        <v>-39.270000000000003</v>
      </c>
      <c r="O59" s="138">
        <v>0</v>
      </c>
      <c r="P59" s="138"/>
      <c r="Q59" s="138"/>
      <c r="R59" s="139">
        <f t="shared" ref="R59:R60" si="23">SUM(F59:Q59)</f>
        <v>-39.270000000000003</v>
      </c>
      <c r="S59" s="139">
        <f t="shared" ref="S59:S60" si="24">SUM(F59)</f>
        <v>0</v>
      </c>
      <c r="T59" s="139">
        <f>SUM($F59:G59)</f>
        <v>0</v>
      </c>
      <c r="U59" s="139">
        <f>SUM($F59:H59)</f>
        <v>0</v>
      </c>
      <c r="V59" s="139">
        <f>SUM($F59:I59)</f>
        <v>0</v>
      </c>
      <c r="W59" s="139">
        <f>SUM($F59:J59)</f>
        <v>0</v>
      </c>
      <c r="X59" s="139">
        <f>SUM($F59:K59)</f>
        <v>0</v>
      </c>
      <c r="Y59" s="139">
        <f>SUM($F59:L59)</f>
        <v>0</v>
      </c>
      <c r="Z59" s="139">
        <f>SUM($F59:M59)</f>
        <v>0</v>
      </c>
      <c r="AA59" s="139">
        <f>SUM($F59:N59)</f>
        <v>-39.270000000000003</v>
      </c>
      <c r="AB59" s="139">
        <f>SUM($F59:O59)</f>
        <v>-39.270000000000003</v>
      </c>
      <c r="AC59" s="139">
        <f>SUM($F59:P59)</f>
        <v>-39.270000000000003</v>
      </c>
      <c r="AD59" s="139">
        <f>SUM($F59:Q59)</f>
        <v>-39.270000000000003</v>
      </c>
    </row>
    <row r="60" spans="1:30" x14ac:dyDescent="0.25">
      <c r="A60" s="106">
        <v>55</v>
      </c>
      <c r="C60" s="1" t="s">
        <v>128</v>
      </c>
      <c r="E60" s="101"/>
      <c r="F60" s="138"/>
      <c r="G60" s="138"/>
      <c r="H60" s="138"/>
      <c r="I60" s="138"/>
      <c r="J60" s="138"/>
      <c r="K60" s="138"/>
      <c r="L60" s="138"/>
      <c r="M60" s="138"/>
      <c r="N60" s="138">
        <v>845.77</v>
      </c>
      <c r="O60" s="138">
        <f>1050.23-845.77</f>
        <v>204.46000000000004</v>
      </c>
      <c r="P60" s="138"/>
      <c r="Q60" s="138"/>
      <c r="R60" s="139">
        <f t="shared" si="23"/>
        <v>1050.23</v>
      </c>
      <c r="S60" s="139">
        <f t="shared" si="24"/>
        <v>0</v>
      </c>
      <c r="T60" s="139">
        <f>SUM($F60:G60)</f>
        <v>0</v>
      </c>
      <c r="U60" s="139">
        <f>SUM($F60:H60)</f>
        <v>0</v>
      </c>
      <c r="V60" s="139">
        <f>SUM($F60:I60)</f>
        <v>0</v>
      </c>
      <c r="W60" s="139">
        <f>SUM($F60:J60)</f>
        <v>0</v>
      </c>
      <c r="X60" s="139">
        <f>SUM($F60:K60)</f>
        <v>0</v>
      </c>
      <c r="Y60" s="139">
        <f>SUM($F60:L60)</f>
        <v>0</v>
      </c>
      <c r="Z60" s="139">
        <f>SUM($F60:M60)</f>
        <v>0</v>
      </c>
      <c r="AA60" s="139">
        <f>SUM($F60:N60)</f>
        <v>845.77</v>
      </c>
      <c r="AB60" s="139">
        <f>SUM($F60:O60)</f>
        <v>1050.23</v>
      </c>
      <c r="AC60" s="139">
        <f>SUM($F60:P60)</f>
        <v>1050.23</v>
      </c>
      <c r="AD60" s="139">
        <f>SUM($F60:Q60)</f>
        <v>1050.23</v>
      </c>
    </row>
    <row r="61" spans="1:30" s="5" customFormat="1" x14ac:dyDescent="0.25">
      <c r="A61" s="106">
        <v>56</v>
      </c>
      <c r="B61" s="51" t="s">
        <v>127</v>
      </c>
      <c r="C61" s="51"/>
      <c r="D61" s="51"/>
      <c r="E61" s="93"/>
      <c r="F61" s="145">
        <f t="shared" ref="F61:Q61" si="25">SUM(F59:F60)</f>
        <v>0</v>
      </c>
      <c r="G61" s="145">
        <f t="shared" si="25"/>
        <v>0</v>
      </c>
      <c r="H61" s="145">
        <f t="shared" si="25"/>
        <v>0</v>
      </c>
      <c r="I61" s="145">
        <f t="shared" si="25"/>
        <v>0</v>
      </c>
      <c r="J61" s="145">
        <f t="shared" si="25"/>
        <v>0</v>
      </c>
      <c r="K61" s="145">
        <f t="shared" si="25"/>
        <v>0</v>
      </c>
      <c r="L61" s="145">
        <f t="shared" si="25"/>
        <v>0</v>
      </c>
      <c r="M61" s="145">
        <f t="shared" si="25"/>
        <v>0</v>
      </c>
      <c r="N61" s="145">
        <f t="shared" si="25"/>
        <v>806.5</v>
      </c>
      <c r="O61" s="145">
        <f t="shared" si="25"/>
        <v>204.46000000000004</v>
      </c>
      <c r="P61" s="145">
        <f t="shared" si="25"/>
        <v>0</v>
      </c>
      <c r="Q61" s="145">
        <f t="shared" si="25"/>
        <v>0</v>
      </c>
      <c r="R61" s="145">
        <f>SUM(R59:R60)</f>
        <v>1010.96</v>
      </c>
      <c r="S61" s="145">
        <f t="shared" ref="S61:AD61" si="26">SUM(S59:S60)</f>
        <v>0</v>
      </c>
      <c r="T61" s="145">
        <f t="shared" si="26"/>
        <v>0</v>
      </c>
      <c r="U61" s="145">
        <f t="shared" si="26"/>
        <v>0</v>
      </c>
      <c r="V61" s="145">
        <f t="shared" si="26"/>
        <v>0</v>
      </c>
      <c r="W61" s="145">
        <f t="shared" si="26"/>
        <v>0</v>
      </c>
      <c r="X61" s="145">
        <f t="shared" si="26"/>
        <v>0</v>
      </c>
      <c r="Y61" s="145">
        <f t="shared" si="26"/>
        <v>0</v>
      </c>
      <c r="Z61" s="145">
        <f t="shared" si="26"/>
        <v>0</v>
      </c>
      <c r="AA61" s="145">
        <f t="shared" si="26"/>
        <v>806.5</v>
      </c>
      <c r="AB61" s="145">
        <f t="shared" si="26"/>
        <v>1010.96</v>
      </c>
      <c r="AC61" s="145">
        <f t="shared" si="26"/>
        <v>1010.96</v>
      </c>
      <c r="AD61" s="145">
        <f t="shared" si="26"/>
        <v>1010.96</v>
      </c>
    </row>
    <row r="62" spans="1:30" ht="5.25" customHeight="1" x14ac:dyDescent="0.25">
      <c r="A62" s="106">
        <v>57</v>
      </c>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row>
    <row r="63" spans="1:30" x14ac:dyDescent="0.25">
      <c r="A63" s="106">
        <v>58</v>
      </c>
      <c r="B63" s="51" t="s">
        <v>36</v>
      </c>
      <c r="C63" s="30"/>
      <c r="D63" s="30"/>
      <c r="E63" s="94"/>
      <c r="F63" s="146"/>
      <c r="G63" s="146"/>
      <c r="H63" s="146"/>
      <c r="I63" s="146"/>
      <c r="J63" s="146"/>
      <c r="K63" s="146"/>
      <c r="L63" s="146"/>
      <c r="M63" s="146"/>
      <c r="N63" s="146">
        <v>240</v>
      </c>
      <c r="O63" s="146">
        <v>0</v>
      </c>
      <c r="P63" s="146"/>
      <c r="Q63" s="146"/>
      <c r="R63" s="147">
        <f>SUM(F63:Q63)</f>
        <v>240</v>
      </c>
      <c r="S63" s="147">
        <f t="shared" ref="S63" si="27">SUM(F63)</f>
        <v>0</v>
      </c>
      <c r="T63" s="147">
        <f>SUM($F63:G63)</f>
        <v>0</v>
      </c>
      <c r="U63" s="147">
        <f>SUM($F63:H63)</f>
        <v>0</v>
      </c>
      <c r="V63" s="147">
        <f>SUM($F63:I63)</f>
        <v>0</v>
      </c>
      <c r="W63" s="147">
        <f>SUM($F63:J63)</f>
        <v>0</v>
      </c>
      <c r="X63" s="147">
        <f>SUM($F63:K63)</f>
        <v>0</v>
      </c>
      <c r="Y63" s="147">
        <f>SUM($F63:L63)</f>
        <v>0</v>
      </c>
      <c r="Z63" s="147">
        <f>SUM($F63:M63)</f>
        <v>0</v>
      </c>
      <c r="AA63" s="147">
        <f>SUM($F63:N63)</f>
        <v>240</v>
      </c>
      <c r="AB63" s="147">
        <f>SUM($F63:O63)</f>
        <v>240</v>
      </c>
      <c r="AC63" s="147">
        <f>SUM($F63:P63)</f>
        <v>240</v>
      </c>
      <c r="AD63" s="147">
        <f>SUM($F63:Q63)</f>
        <v>240</v>
      </c>
    </row>
    <row r="64" spans="1:30" ht="6" customHeight="1" x14ac:dyDescent="0.25">
      <c r="A64" s="106">
        <v>59</v>
      </c>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row>
    <row r="65" spans="1:30" x14ac:dyDescent="0.25">
      <c r="A65" s="106">
        <v>60</v>
      </c>
      <c r="B65" s="5" t="s">
        <v>37</v>
      </c>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row>
    <row r="66" spans="1:30" x14ac:dyDescent="0.25">
      <c r="A66" s="106">
        <v>61</v>
      </c>
      <c r="C66" s="1" t="s">
        <v>38</v>
      </c>
      <c r="F66" s="138"/>
      <c r="G66" s="138"/>
      <c r="H66" s="138"/>
      <c r="I66" s="138"/>
      <c r="J66" s="138"/>
      <c r="K66" s="138"/>
      <c r="L66" s="138"/>
      <c r="M66" s="138"/>
      <c r="N66" s="138">
        <v>99.95</v>
      </c>
      <c r="O66" s="138">
        <v>0</v>
      </c>
      <c r="P66" s="138"/>
      <c r="Q66" s="138"/>
      <c r="R66" s="139">
        <f t="shared" ref="R66:R70" si="28">SUM(F66:Q66)</f>
        <v>99.95</v>
      </c>
      <c r="S66" s="139">
        <f t="shared" ref="S66:S70" si="29">SUM(F66)</f>
        <v>0</v>
      </c>
      <c r="T66" s="139">
        <f>SUM($F66:G66)</f>
        <v>0</v>
      </c>
      <c r="U66" s="139">
        <f>SUM($F66:H66)</f>
        <v>0</v>
      </c>
      <c r="V66" s="139">
        <f>SUM($F66:I66)</f>
        <v>0</v>
      </c>
      <c r="W66" s="139">
        <f>SUM($F66:J66)</f>
        <v>0</v>
      </c>
      <c r="X66" s="139">
        <f>SUM($F66:K66)</f>
        <v>0</v>
      </c>
      <c r="Y66" s="139">
        <f>SUM($F66:L66)</f>
        <v>0</v>
      </c>
      <c r="Z66" s="139">
        <f>SUM($F66:M66)</f>
        <v>0</v>
      </c>
      <c r="AA66" s="139">
        <f>SUM($F66:N66)</f>
        <v>99.95</v>
      </c>
      <c r="AB66" s="139">
        <f>SUM($F66:O66)</f>
        <v>99.95</v>
      </c>
      <c r="AC66" s="139">
        <f>SUM($F66:P66)</f>
        <v>99.95</v>
      </c>
      <c r="AD66" s="139">
        <f>SUM($F66:Q66)</f>
        <v>99.95</v>
      </c>
    </row>
    <row r="67" spans="1:30" x14ac:dyDescent="0.25">
      <c r="A67" s="106">
        <v>62</v>
      </c>
      <c r="C67" s="1" t="s">
        <v>39</v>
      </c>
      <c r="F67" s="138"/>
      <c r="G67" s="138"/>
      <c r="H67" s="138"/>
      <c r="I67" s="138"/>
      <c r="J67" s="138"/>
      <c r="K67" s="138"/>
      <c r="L67" s="138"/>
      <c r="M67" s="138"/>
      <c r="N67" s="138">
        <v>0</v>
      </c>
      <c r="O67" s="138">
        <v>0</v>
      </c>
      <c r="P67" s="138"/>
      <c r="Q67" s="138"/>
      <c r="R67" s="139">
        <f t="shared" si="28"/>
        <v>0</v>
      </c>
      <c r="S67" s="139">
        <f t="shared" si="29"/>
        <v>0</v>
      </c>
      <c r="T67" s="139">
        <f>SUM($F67:G67)</f>
        <v>0</v>
      </c>
      <c r="U67" s="139">
        <f>SUM($F67:H67)</f>
        <v>0</v>
      </c>
      <c r="V67" s="139">
        <f>SUM($F67:I67)</f>
        <v>0</v>
      </c>
      <c r="W67" s="139">
        <f>SUM($F67:J67)</f>
        <v>0</v>
      </c>
      <c r="X67" s="139">
        <f>SUM($F67:K67)</f>
        <v>0</v>
      </c>
      <c r="Y67" s="139">
        <f>SUM($F67:L67)</f>
        <v>0</v>
      </c>
      <c r="Z67" s="139">
        <f>SUM($F67:M67)</f>
        <v>0</v>
      </c>
      <c r="AA67" s="139">
        <f>SUM($F67:N67)</f>
        <v>0</v>
      </c>
      <c r="AB67" s="139">
        <f>SUM($F67:O67)</f>
        <v>0</v>
      </c>
      <c r="AC67" s="139">
        <f>SUM($F67:P67)</f>
        <v>0</v>
      </c>
      <c r="AD67" s="139">
        <f>SUM($F67:Q67)</f>
        <v>0</v>
      </c>
    </row>
    <row r="68" spans="1:30" x14ac:dyDescent="0.25">
      <c r="A68" s="106">
        <v>63</v>
      </c>
      <c r="C68" s="1" t="s">
        <v>40</v>
      </c>
      <c r="F68" s="138"/>
      <c r="G68" s="138"/>
      <c r="H68" s="138"/>
      <c r="I68" s="138"/>
      <c r="J68" s="138"/>
      <c r="K68" s="138"/>
      <c r="L68" s="138"/>
      <c r="M68" s="138"/>
      <c r="N68" s="138">
        <v>950.96</v>
      </c>
      <c r="O68" s="138">
        <v>0</v>
      </c>
      <c r="P68" s="138"/>
      <c r="Q68" s="138"/>
      <c r="R68" s="139">
        <f t="shared" si="28"/>
        <v>950.96</v>
      </c>
      <c r="S68" s="139">
        <f t="shared" si="29"/>
        <v>0</v>
      </c>
      <c r="T68" s="139">
        <f>SUM($F68:G68)</f>
        <v>0</v>
      </c>
      <c r="U68" s="139">
        <f>SUM($F68:H68)</f>
        <v>0</v>
      </c>
      <c r="V68" s="139">
        <f>SUM($F68:I68)</f>
        <v>0</v>
      </c>
      <c r="W68" s="139">
        <f>SUM($F68:J68)</f>
        <v>0</v>
      </c>
      <c r="X68" s="139">
        <f>SUM($F68:K68)</f>
        <v>0</v>
      </c>
      <c r="Y68" s="139">
        <f>SUM($F68:L68)</f>
        <v>0</v>
      </c>
      <c r="Z68" s="139">
        <f>SUM($F68:M68)</f>
        <v>0</v>
      </c>
      <c r="AA68" s="139">
        <f>SUM($F68:N68)</f>
        <v>950.96</v>
      </c>
      <c r="AB68" s="139">
        <f>SUM($F68:O68)</f>
        <v>950.96</v>
      </c>
      <c r="AC68" s="139">
        <f>SUM($F68:P68)</f>
        <v>950.96</v>
      </c>
      <c r="AD68" s="139">
        <f>SUM($F68:Q68)</f>
        <v>950.96</v>
      </c>
    </row>
    <row r="69" spans="1:30" x14ac:dyDescent="0.25">
      <c r="A69" s="106">
        <v>64</v>
      </c>
      <c r="C69" s="1" t="s">
        <v>41</v>
      </c>
      <c r="E69" s="101"/>
      <c r="F69" s="138"/>
      <c r="G69" s="138"/>
      <c r="H69" s="138"/>
      <c r="I69" s="138"/>
      <c r="J69" s="138"/>
      <c r="K69" s="138"/>
      <c r="L69" s="138"/>
      <c r="M69" s="138"/>
      <c r="N69" s="138">
        <v>-137.76</v>
      </c>
      <c r="O69" s="138">
        <v>19.95</v>
      </c>
      <c r="P69" s="138"/>
      <c r="Q69" s="138"/>
      <c r="R69" s="139">
        <f t="shared" si="28"/>
        <v>-117.80999999999999</v>
      </c>
      <c r="S69" s="139">
        <f t="shared" si="29"/>
        <v>0</v>
      </c>
      <c r="T69" s="139">
        <f>SUM($F69:G69)</f>
        <v>0</v>
      </c>
      <c r="U69" s="139">
        <f>SUM($F69:H69)</f>
        <v>0</v>
      </c>
      <c r="V69" s="139">
        <f>SUM($F69:I69)</f>
        <v>0</v>
      </c>
      <c r="W69" s="139">
        <f>SUM($F69:J69)</f>
        <v>0</v>
      </c>
      <c r="X69" s="139">
        <f>SUM($F69:K69)</f>
        <v>0</v>
      </c>
      <c r="Y69" s="139">
        <f>SUM($F69:L69)</f>
        <v>0</v>
      </c>
      <c r="Z69" s="139">
        <f>SUM($F69:M69)</f>
        <v>0</v>
      </c>
      <c r="AA69" s="139">
        <f>SUM($F69:N69)</f>
        <v>-137.76</v>
      </c>
      <c r="AB69" s="139">
        <f>SUM($F69:O69)</f>
        <v>-117.80999999999999</v>
      </c>
      <c r="AC69" s="139">
        <f>SUM($F69:P69)</f>
        <v>-117.80999999999999</v>
      </c>
      <c r="AD69" s="139">
        <f>SUM($F69:Q69)</f>
        <v>-117.80999999999999</v>
      </c>
    </row>
    <row r="70" spans="1:30" x14ac:dyDescent="0.25">
      <c r="A70" s="106">
        <v>65</v>
      </c>
      <c r="C70" s="1" t="s">
        <v>42</v>
      </c>
      <c r="E70" s="101"/>
      <c r="F70" s="138"/>
      <c r="G70" s="138"/>
      <c r="H70" s="138"/>
      <c r="I70" s="138"/>
      <c r="J70" s="138"/>
      <c r="K70" s="138"/>
      <c r="L70" s="138"/>
      <c r="M70" s="138"/>
      <c r="N70" s="138">
        <v>0</v>
      </c>
      <c r="O70" s="138">
        <v>0</v>
      </c>
      <c r="P70" s="138"/>
      <c r="Q70" s="138"/>
      <c r="R70" s="139">
        <f t="shared" si="28"/>
        <v>0</v>
      </c>
      <c r="S70" s="139">
        <f t="shared" si="29"/>
        <v>0</v>
      </c>
      <c r="T70" s="139">
        <f>SUM($F70:G70)</f>
        <v>0</v>
      </c>
      <c r="U70" s="139">
        <f>SUM($F70:H70)</f>
        <v>0</v>
      </c>
      <c r="V70" s="139">
        <f>SUM($F70:I70)</f>
        <v>0</v>
      </c>
      <c r="W70" s="139">
        <f>SUM($F70:J70)</f>
        <v>0</v>
      </c>
      <c r="X70" s="139">
        <f>SUM($F70:K70)</f>
        <v>0</v>
      </c>
      <c r="Y70" s="139">
        <f>SUM($F70:L70)</f>
        <v>0</v>
      </c>
      <c r="Z70" s="139">
        <f>SUM($F70:M70)</f>
        <v>0</v>
      </c>
      <c r="AA70" s="139">
        <f>SUM($F70:N70)</f>
        <v>0</v>
      </c>
      <c r="AB70" s="139">
        <f>SUM($F70:O70)</f>
        <v>0</v>
      </c>
      <c r="AC70" s="139">
        <f>SUM($F70:P70)</f>
        <v>0</v>
      </c>
      <c r="AD70" s="139">
        <f>SUM($F70:Q70)</f>
        <v>0</v>
      </c>
    </row>
    <row r="71" spans="1:30" s="5" customFormat="1" x14ac:dyDescent="0.25">
      <c r="A71" s="106">
        <v>66</v>
      </c>
      <c r="B71" s="51" t="s">
        <v>43</v>
      </c>
      <c r="C71" s="51"/>
      <c r="D71" s="51"/>
      <c r="E71" s="93"/>
      <c r="F71" s="145">
        <f t="shared" ref="F71:Q71" si="30">SUM(F66:F70)</f>
        <v>0</v>
      </c>
      <c r="G71" s="145">
        <f t="shared" si="30"/>
        <v>0</v>
      </c>
      <c r="H71" s="145">
        <f t="shared" si="30"/>
        <v>0</v>
      </c>
      <c r="I71" s="145">
        <f t="shared" si="30"/>
        <v>0</v>
      </c>
      <c r="J71" s="145">
        <f t="shared" si="30"/>
        <v>0</v>
      </c>
      <c r="K71" s="145">
        <f t="shared" si="30"/>
        <v>0</v>
      </c>
      <c r="L71" s="145">
        <f t="shared" si="30"/>
        <v>0</v>
      </c>
      <c r="M71" s="145">
        <f t="shared" si="30"/>
        <v>0</v>
      </c>
      <c r="N71" s="145">
        <f t="shared" si="30"/>
        <v>913.15000000000009</v>
      </c>
      <c r="O71" s="145">
        <f t="shared" si="30"/>
        <v>19.95</v>
      </c>
      <c r="P71" s="145">
        <f t="shared" si="30"/>
        <v>0</v>
      </c>
      <c r="Q71" s="145">
        <f t="shared" si="30"/>
        <v>0</v>
      </c>
      <c r="R71" s="145">
        <f>SUM(R66:R70)</f>
        <v>933.10000000000014</v>
      </c>
      <c r="S71" s="145">
        <f t="shared" ref="S71:AD71" si="31">SUM(S66:S70)</f>
        <v>0</v>
      </c>
      <c r="T71" s="145">
        <f t="shared" si="31"/>
        <v>0</v>
      </c>
      <c r="U71" s="145">
        <f t="shared" si="31"/>
        <v>0</v>
      </c>
      <c r="V71" s="145">
        <f t="shared" si="31"/>
        <v>0</v>
      </c>
      <c r="W71" s="145">
        <f t="shared" si="31"/>
        <v>0</v>
      </c>
      <c r="X71" s="145">
        <f t="shared" si="31"/>
        <v>0</v>
      </c>
      <c r="Y71" s="145">
        <f t="shared" si="31"/>
        <v>0</v>
      </c>
      <c r="Z71" s="145">
        <f t="shared" si="31"/>
        <v>0</v>
      </c>
      <c r="AA71" s="145">
        <f t="shared" si="31"/>
        <v>913.15000000000009</v>
      </c>
      <c r="AB71" s="145">
        <f t="shared" si="31"/>
        <v>933.10000000000014</v>
      </c>
      <c r="AC71" s="145">
        <f t="shared" si="31"/>
        <v>933.10000000000014</v>
      </c>
      <c r="AD71" s="145">
        <f t="shared" si="31"/>
        <v>933.10000000000014</v>
      </c>
    </row>
    <row r="72" spans="1:30" ht="6" customHeight="1" x14ac:dyDescent="0.25">
      <c r="A72" s="106">
        <v>67</v>
      </c>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row>
    <row r="73" spans="1:30" x14ac:dyDescent="0.25">
      <c r="A73" s="106">
        <v>68</v>
      </c>
      <c r="B73" s="5" t="s">
        <v>44</v>
      </c>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row>
    <row r="74" spans="1:30" x14ac:dyDescent="0.25">
      <c r="A74" s="106">
        <v>69</v>
      </c>
      <c r="C74" s="1" t="s">
        <v>45</v>
      </c>
      <c r="E74" s="101"/>
      <c r="F74" s="138"/>
      <c r="G74" s="138"/>
      <c r="H74" s="138"/>
      <c r="I74" s="138"/>
      <c r="J74" s="138"/>
      <c r="K74" s="138"/>
      <c r="L74" s="138"/>
      <c r="M74" s="138"/>
      <c r="N74" s="138">
        <v>3780.17</v>
      </c>
      <c r="O74" s="138">
        <f>4148.04-3780.17</f>
        <v>367.86999999999989</v>
      </c>
      <c r="P74" s="138"/>
      <c r="Q74" s="138"/>
      <c r="R74" s="139">
        <f t="shared" ref="R74:R80" si="32">SUM(F74:Q74)</f>
        <v>4148.04</v>
      </c>
      <c r="S74" s="139">
        <f t="shared" ref="S74:S80" si="33">SUM(F74)</f>
        <v>0</v>
      </c>
      <c r="T74" s="139">
        <f>SUM($F74:G74)</f>
        <v>0</v>
      </c>
      <c r="U74" s="139">
        <f>SUM($F74:H74)</f>
        <v>0</v>
      </c>
      <c r="V74" s="139">
        <f>SUM($F74:I74)</f>
        <v>0</v>
      </c>
      <c r="W74" s="139">
        <f>SUM($F74:J74)</f>
        <v>0</v>
      </c>
      <c r="X74" s="139">
        <f>SUM($F74:K74)</f>
        <v>0</v>
      </c>
      <c r="Y74" s="139">
        <f>SUM($F74:L74)</f>
        <v>0</v>
      </c>
      <c r="Z74" s="139">
        <f>SUM($F74:M74)</f>
        <v>0</v>
      </c>
      <c r="AA74" s="139">
        <f>SUM($F74:N74)</f>
        <v>3780.17</v>
      </c>
      <c r="AB74" s="139">
        <f>SUM($F74:O74)</f>
        <v>4148.04</v>
      </c>
      <c r="AC74" s="139">
        <f>SUM($F74:P74)</f>
        <v>4148.04</v>
      </c>
      <c r="AD74" s="139">
        <f>SUM($F74:Q74)</f>
        <v>4148.04</v>
      </c>
    </row>
    <row r="75" spans="1:30" x14ac:dyDescent="0.25">
      <c r="A75" s="106">
        <v>70</v>
      </c>
      <c r="C75" s="1" t="s">
        <v>46</v>
      </c>
      <c r="E75" s="101"/>
      <c r="F75" s="138"/>
      <c r="G75" s="138"/>
      <c r="H75" s="138"/>
      <c r="I75" s="138"/>
      <c r="J75" s="138"/>
      <c r="K75" s="138"/>
      <c r="L75" s="138"/>
      <c r="M75" s="138"/>
      <c r="N75" s="138">
        <v>2877.62</v>
      </c>
      <c r="O75" s="138">
        <f>3978.22-2877.62</f>
        <v>1100.5999999999999</v>
      </c>
      <c r="P75" s="138"/>
      <c r="Q75" s="138"/>
      <c r="R75" s="139">
        <f t="shared" si="32"/>
        <v>3978.22</v>
      </c>
      <c r="S75" s="139">
        <f t="shared" si="33"/>
        <v>0</v>
      </c>
      <c r="T75" s="139">
        <f>SUM($F75:G75)</f>
        <v>0</v>
      </c>
      <c r="U75" s="139">
        <f>SUM($F75:H75)</f>
        <v>0</v>
      </c>
      <c r="V75" s="139">
        <f>SUM($F75:I75)</f>
        <v>0</v>
      </c>
      <c r="W75" s="139">
        <f>SUM($F75:J75)</f>
        <v>0</v>
      </c>
      <c r="X75" s="139">
        <f>SUM($F75:K75)</f>
        <v>0</v>
      </c>
      <c r="Y75" s="139">
        <f>SUM($F75:L75)</f>
        <v>0</v>
      </c>
      <c r="Z75" s="139">
        <f>SUM($F75:M75)</f>
        <v>0</v>
      </c>
      <c r="AA75" s="139">
        <f>SUM($F75:N75)</f>
        <v>2877.62</v>
      </c>
      <c r="AB75" s="139">
        <f>SUM($F75:O75)</f>
        <v>3978.22</v>
      </c>
      <c r="AC75" s="139">
        <f>SUM($F75:P75)</f>
        <v>3978.22</v>
      </c>
      <c r="AD75" s="139">
        <f>SUM($F75:Q75)</f>
        <v>3978.22</v>
      </c>
    </row>
    <row r="76" spans="1:30" x14ac:dyDescent="0.25">
      <c r="A76" s="106">
        <v>71</v>
      </c>
      <c r="C76" s="1" t="s">
        <v>145</v>
      </c>
      <c r="E76" s="101"/>
      <c r="F76" s="138"/>
      <c r="G76" s="138"/>
      <c r="H76" s="138"/>
      <c r="I76" s="138"/>
      <c r="J76" s="138"/>
      <c r="K76" s="138"/>
      <c r="L76" s="138"/>
      <c r="M76" s="138"/>
      <c r="N76" s="138">
        <v>632.45000000000005</v>
      </c>
      <c r="O76" s="138">
        <v>0</v>
      </c>
      <c r="P76" s="138"/>
      <c r="Q76" s="138"/>
      <c r="R76" s="139">
        <f t="shared" si="32"/>
        <v>632.45000000000005</v>
      </c>
      <c r="S76" s="139">
        <f t="shared" si="33"/>
        <v>0</v>
      </c>
      <c r="T76" s="139">
        <f>SUM($F76:G76)</f>
        <v>0</v>
      </c>
      <c r="U76" s="139">
        <f>SUM($F76:H76)</f>
        <v>0</v>
      </c>
      <c r="V76" s="139">
        <f>SUM($F76:I76)</f>
        <v>0</v>
      </c>
      <c r="W76" s="139">
        <f>SUM($F76:J76)</f>
        <v>0</v>
      </c>
      <c r="X76" s="139">
        <f>SUM($F76:K76)</f>
        <v>0</v>
      </c>
      <c r="Y76" s="139">
        <f>SUM($F76:L76)</f>
        <v>0</v>
      </c>
      <c r="Z76" s="139">
        <f>SUM($F76:M76)</f>
        <v>0</v>
      </c>
      <c r="AA76" s="139">
        <f>SUM($F76:N76)</f>
        <v>632.45000000000005</v>
      </c>
      <c r="AB76" s="139">
        <f>SUM($F76:O76)</f>
        <v>632.45000000000005</v>
      </c>
      <c r="AC76" s="139">
        <f>SUM($F76:P76)</f>
        <v>632.45000000000005</v>
      </c>
      <c r="AD76" s="139">
        <f>SUM($F76:Q76)</f>
        <v>632.45000000000005</v>
      </c>
    </row>
    <row r="77" spans="1:30" x14ac:dyDescent="0.25">
      <c r="A77" s="106">
        <v>72</v>
      </c>
      <c r="C77" s="1" t="s">
        <v>47</v>
      </c>
      <c r="F77" s="138"/>
      <c r="G77" s="138"/>
      <c r="H77" s="138"/>
      <c r="I77" s="138"/>
      <c r="J77" s="138"/>
      <c r="K77" s="138"/>
      <c r="L77" s="138"/>
      <c r="M77" s="138"/>
      <c r="N77" s="138">
        <v>0</v>
      </c>
      <c r="O77" s="138">
        <v>0</v>
      </c>
      <c r="P77" s="138"/>
      <c r="Q77" s="138"/>
      <c r="R77" s="139">
        <f t="shared" si="32"/>
        <v>0</v>
      </c>
      <c r="S77" s="139">
        <f t="shared" si="33"/>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c r="F78" s="138"/>
      <c r="G78" s="138"/>
      <c r="H78" s="138"/>
      <c r="I78" s="138"/>
      <c r="J78" s="138"/>
      <c r="K78" s="138"/>
      <c r="L78" s="138"/>
      <c r="M78" s="138"/>
      <c r="N78" s="138">
        <v>14050.98</v>
      </c>
      <c r="O78" s="138">
        <f>15988.25-14050.98</f>
        <v>1937.2700000000004</v>
      </c>
      <c r="P78" s="138"/>
      <c r="Q78" s="138"/>
      <c r="R78" s="139">
        <f t="shared" si="32"/>
        <v>15988.25</v>
      </c>
      <c r="S78" s="139">
        <f t="shared" si="33"/>
        <v>0</v>
      </c>
      <c r="T78" s="139">
        <f>SUM($F78:G78)</f>
        <v>0</v>
      </c>
      <c r="U78" s="139">
        <f>SUM($F78:H78)</f>
        <v>0</v>
      </c>
      <c r="V78" s="139">
        <f>SUM($F78:I78)</f>
        <v>0</v>
      </c>
      <c r="W78" s="139">
        <f>SUM($F78:J78)</f>
        <v>0</v>
      </c>
      <c r="X78" s="139">
        <f>SUM($F78:K78)</f>
        <v>0</v>
      </c>
      <c r="Y78" s="139">
        <f>SUM($F78:L78)</f>
        <v>0</v>
      </c>
      <c r="Z78" s="139">
        <f>SUM($F78:M78)</f>
        <v>0</v>
      </c>
      <c r="AA78" s="139">
        <f>SUM($F78:N78)</f>
        <v>14050.98</v>
      </c>
      <c r="AB78" s="139">
        <f>SUM($F78:O78)</f>
        <v>15988.25</v>
      </c>
      <c r="AC78" s="139">
        <f>SUM($F78:P78)</f>
        <v>15988.25</v>
      </c>
      <c r="AD78" s="139">
        <f>SUM($F78:Q78)</f>
        <v>15988.25</v>
      </c>
    </row>
    <row r="79" spans="1:30" x14ac:dyDescent="0.25">
      <c r="A79" s="106">
        <v>74</v>
      </c>
      <c r="C79" s="1" t="s">
        <v>49</v>
      </c>
      <c r="E79" s="101"/>
      <c r="F79" s="138"/>
      <c r="G79" s="138"/>
      <c r="H79" s="138"/>
      <c r="I79" s="138"/>
      <c r="J79" s="138"/>
      <c r="K79" s="138"/>
      <c r="L79" s="138"/>
      <c r="M79" s="138"/>
      <c r="N79" s="138">
        <v>788.19</v>
      </c>
      <c r="O79" s="138">
        <f>806.03-788.19</f>
        <v>17.839999999999918</v>
      </c>
      <c r="P79" s="138"/>
      <c r="Q79" s="138"/>
      <c r="R79" s="139">
        <f t="shared" si="32"/>
        <v>806.03</v>
      </c>
      <c r="S79" s="139">
        <f t="shared" si="33"/>
        <v>0</v>
      </c>
      <c r="T79" s="139">
        <f>SUM($F79:G79)</f>
        <v>0</v>
      </c>
      <c r="U79" s="139">
        <f>SUM($F79:H79)</f>
        <v>0</v>
      </c>
      <c r="V79" s="139">
        <f>SUM($F79:I79)</f>
        <v>0</v>
      </c>
      <c r="W79" s="139">
        <f>SUM($F79:J79)</f>
        <v>0</v>
      </c>
      <c r="X79" s="139">
        <f>SUM($F79:K79)</f>
        <v>0</v>
      </c>
      <c r="Y79" s="139">
        <f>SUM($F79:L79)</f>
        <v>0</v>
      </c>
      <c r="Z79" s="139">
        <f>SUM($F79:M79)</f>
        <v>0</v>
      </c>
      <c r="AA79" s="139">
        <f>SUM($F79:N79)</f>
        <v>788.19</v>
      </c>
      <c r="AB79" s="139">
        <f>SUM($F79:O79)</f>
        <v>806.03</v>
      </c>
      <c r="AC79" s="139">
        <f>SUM($F79:P79)</f>
        <v>806.03</v>
      </c>
      <c r="AD79" s="139">
        <f>SUM($F79:Q79)</f>
        <v>806.03</v>
      </c>
    </row>
    <row r="80" spans="1:30" x14ac:dyDescent="0.25">
      <c r="A80" s="106">
        <v>75</v>
      </c>
      <c r="C80" s="1" t="s">
        <v>50</v>
      </c>
      <c r="E80" s="101"/>
      <c r="F80" s="138"/>
      <c r="G80" s="138"/>
      <c r="H80" s="138"/>
      <c r="I80" s="138"/>
      <c r="J80" s="138"/>
      <c r="K80" s="138"/>
      <c r="L80" s="138"/>
      <c r="M80" s="138"/>
      <c r="N80" s="138">
        <v>1255.9100000000001</v>
      </c>
      <c r="O80" s="138">
        <f>1376.86-1255.91</f>
        <v>120.94999999999982</v>
      </c>
      <c r="P80" s="138"/>
      <c r="Q80" s="138"/>
      <c r="R80" s="139">
        <f t="shared" si="32"/>
        <v>1376.86</v>
      </c>
      <c r="S80" s="139">
        <f t="shared" si="33"/>
        <v>0</v>
      </c>
      <c r="T80" s="139">
        <f>SUM($F80:G80)</f>
        <v>0</v>
      </c>
      <c r="U80" s="139">
        <f>SUM($F80:H80)</f>
        <v>0</v>
      </c>
      <c r="V80" s="139">
        <f>SUM($F80:I80)</f>
        <v>0</v>
      </c>
      <c r="W80" s="139">
        <f>SUM($F80:J80)</f>
        <v>0</v>
      </c>
      <c r="X80" s="139">
        <f>SUM($F80:K80)</f>
        <v>0</v>
      </c>
      <c r="Y80" s="139">
        <f>SUM($F80:L80)</f>
        <v>0</v>
      </c>
      <c r="Z80" s="139">
        <f>SUM($F80:M80)</f>
        <v>0</v>
      </c>
      <c r="AA80" s="139">
        <f>SUM($F80:N80)</f>
        <v>1255.9100000000001</v>
      </c>
      <c r="AB80" s="139">
        <f>SUM($F80:O80)</f>
        <v>1376.86</v>
      </c>
      <c r="AC80" s="139">
        <f>SUM($F80:P80)</f>
        <v>1376.86</v>
      </c>
      <c r="AD80" s="139">
        <f>SUM($F80:Q80)</f>
        <v>1376.86</v>
      </c>
    </row>
    <row r="81" spans="1:30" s="5" customFormat="1" x14ac:dyDescent="0.25">
      <c r="A81" s="106">
        <v>76</v>
      </c>
      <c r="B81" s="51" t="s">
        <v>53</v>
      </c>
      <c r="C81" s="51"/>
      <c r="D81" s="51"/>
      <c r="E81" s="93"/>
      <c r="F81" s="145">
        <f t="shared" ref="F81:Q81" si="34">SUM(F74:F80)</f>
        <v>0</v>
      </c>
      <c r="G81" s="145">
        <f t="shared" si="34"/>
        <v>0</v>
      </c>
      <c r="H81" s="145">
        <f t="shared" si="34"/>
        <v>0</v>
      </c>
      <c r="I81" s="145">
        <f t="shared" si="34"/>
        <v>0</v>
      </c>
      <c r="J81" s="145">
        <f t="shared" si="34"/>
        <v>0</v>
      </c>
      <c r="K81" s="145">
        <f t="shared" si="34"/>
        <v>0</v>
      </c>
      <c r="L81" s="145">
        <f t="shared" si="34"/>
        <v>0</v>
      </c>
      <c r="M81" s="145">
        <f t="shared" si="34"/>
        <v>0</v>
      </c>
      <c r="N81" s="145">
        <f t="shared" si="34"/>
        <v>23385.32</v>
      </c>
      <c r="O81" s="145">
        <f t="shared" si="34"/>
        <v>3544.5299999999997</v>
      </c>
      <c r="P81" s="145">
        <f t="shared" si="34"/>
        <v>0</v>
      </c>
      <c r="Q81" s="145">
        <f t="shared" si="34"/>
        <v>0</v>
      </c>
      <c r="R81" s="145">
        <f>SUM(R74:R80)</f>
        <v>26929.85</v>
      </c>
      <c r="S81" s="145">
        <f t="shared" ref="S81:AD81" si="35">SUM(S74:S80)</f>
        <v>0</v>
      </c>
      <c r="T81" s="145">
        <f t="shared" si="35"/>
        <v>0</v>
      </c>
      <c r="U81" s="145">
        <f t="shared" si="35"/>
        <v>0</v>
      </c>
      <c r="V81" s="145">
        <f t="shared" si="35"/>
        <v>0</v>
      </c>
      <c r="W81" s="145">
        <f t="shared" si="35"/>
        <v>0</v>
      </c>
      <c r="X81" s="145">
        <f t="shared" si="35"/>
        <v>0</v>
      </c>
      <c r="Y81" s="145">
        <f t="shared" si="35"/>
        <v>0</v>
      </c>
      <c r="Z81" s="145">
        <f t="shared" si="35"/>
        <v>0</v>
      </c>
      <c r="AA81" s="145">
        <f t="shared" si="35"/>
        <v>23385.32</v>
      </c>
      <c r="AB81" s="145">
        <f t="shared" si="35"/>
        <v>26929.85</v>
      </c>
      <c r="AC81" s="145">
        <f t="shared" si="35"/>
        <v>26929.85</v>
      </c>
      <c r="AD81" s="145">
        <f t="shared" si="35"/>
        <v>26929.85</v>
      </c>
    </row>
    <row r="82" spans="1:30" x14ac:dyDescent="0.25">
      <c r="A82" s="106">
        <v>77</v>
      </c>
      <c r="B82" s="51" t="s">
        <v>126</v>
      </c>
      <c r="C82" s="32"/>
      <c r="D82" s="32"/>
      <c r="E82" s="95"/>
      <c r="F82" s="145">
        <f t="shared" ref="F82:Q82" si="36">+F41+F43+F50+F56+F63+F71+F81+F61</f>
        <v>0</v>
      </c>
      <c r="G82" s="145">
        <f t="shared" si="36"/>
        <v>0</v>
      </c>
      <c r="H82" s="145">
        <f t="shared" si="36"/>
        <v>0</v>
      </c>
      <c r="I82" s="145">
        <f t="shared" si="36"/>
        <v>0</v>
      </c>
      <c r="J82" s="145">
        <f t="shared" si="36"/>
        <v>0</v>
      </c>
      <c r="K82" s="145">
        <f t="shared" si="36"/>
        <v>0</v>
      </c>
      <c r="L82" s="145">
        <f t="shared" si="36"/>
        <v>0</v>
      </c>
      <c r="M82" s="145">
        <f t="shared" si="36"/>
        <v>0</v>
      </c>
      <c r="N82" s="145">
        <f t="shared" si="36"/>
        <v>37145.620000000003</v>
      </c>
      <c r="O82" s="145">
        <f t="shared" si="36"/>
        <v>6245.61</v>
      </c>
      <c r="P82" s="145">
        <f t="shared" si="36"/>
        <v>0</v>
      </c>
      <c r="Q82" s="145">
        <f t="shared" si="36"/>
        <v>0</v>
      </c>
      <c r="R82" s="145">
        <f>+R41+R43+R50+R56+R63+R71+R81+R61</f>
        <v>43391.229999999996</v>
      </c>
      <c r="S82" s="145">
        <f t="shared" ref="S82:AD82" si="37">+S41+S43+S50+S56+S63+S71+S81+S61</f>
        <v>0</v>
      </c>
      <c r="T82" s="145">
        <f t="shared" si="37"/>
        <v>0</v>
      </c>
      <c r="U82" s="145">
        <f t="shared" si="37"/>
        <v>0</v>
      </c>
      <c r="V82" s="145">
        <f t="shared" si="37"/>
        <v>0</v>
      </c>
      <c r="W82" s="145">
        <f t="shared" si="37"/>
        <v>0</v>
      </c>
      <c r="X82" s="145">
        <f t="shared" si="37"/>
        <v>0</v>
      </c>
      <c r="Y82" s="145">
        <f t="shared" si="37"/>
        <v>0</v>
      </c>
      <c r="Z82" s="145">
        <f t="shared" si="37"/>
        <v>0</v>
      </c>
      <c r="AA82" s="145">
        <f t="shared" si="37"/>
        <v>37145.620000000003</v>
      </c>
      <c r="AB82" s="145">
        <f t="shared" si="37"/>
        <v>43391.229999999996</v>
      </c>
      <c r="AC82" s="145">
        <f t="shared" si="37"/>
        <v>43391.229999999996</v>
      </c>
      <c r="AD82" s="145">
        <f t="shared" si="37"/>
        <v>43391.229999999996</v>
      </c>
    </row>
    <row r="83" spans="1:30" ht="8.25" customHeight="1" x14ac:dyDescent="0.25">
      <c r="A83" s="106">
        <v>78</v>
      </c>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row>
    <row r="84" spans="1:30" ht="18.75" x14ac:dyDescent="0.25">
      <c r="A84" s="106">
        <v>79</v>
      </c>
      <c r="B84" s="11" t="s">
        <v>51</v>
      </c>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row>
    <row r="85" spans="1:30" x14ac:dyDescent="0.25">
      <c r="A85" s="106">
        <v>80</v>
      </c>
      <c r="B85" s="5" t="s">
        <v>52</v>
      </c>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row>
    <row r="86" spans="1:30" x14ac:dyDescent="0.25">
      <c r="A86" s="106">
        <v>81</v>
      </c>
      <c r="C86" s="1" t="s">
        <v>54</v>
      </c>
      <c r="E86" s="101"/>
      <c r="F86" s="138"/>
      <c r="G86" s="138"/>
      <c r="H86" s="138"/>
      <c r="I86" s="138"/>
      <c r="J86" s="138"/>
      <c r="K86" s="138"/>
      <c r="L86" s="138"/>
      <c r="M86" s="138"/>
      <c r="N86" s="138">
        <v>67973.25</v>
      </c>
      <c r="O86" s="138">
        <f>74842.83-67973.25</f>
        <v>6869.5800000000017</v>
      </c>
      <c r="P86" s="138"/>
      <c r="Q86" s="138"/>
      <c r="R86" s="139">
        <f t="shared" ref="R86:R90" si="38">SUM(F86:Q86)</f>
        <v>74842.83</v>
      </c>
      <c r="S86" s="139">
        <f t="shared" ref="S86:S90" si="39">SUM(F86)</f>
        <v>0</v>
      </c>
      <c r="T86" s="139">
        <f>SUM($F86:G86)</f>
        <v>0</v>
      </c>
      <c r="U86" s="139">
        <f>SUM($F86:H86)</f>
        <v>0</v>
      </c>
      <c r="V86" s="139">
        <f>SUM($F86:I86)</f>
        <v>0</v>
      </c>
      <c r="W86" s="139">
        <f>SUM($F86:J86)</f>
        <v>0</v>
      </c>
      <c r="X86" s="139">
        <f>SUM($F86:K86)</f>
        <v>0</v>
      </c>
      <c r="Y86" s="139">
        <f>SUM($F86:L86)</f>
        <v>0</v>
      </c>
      <c r="Z86" s="139">
        <f>SUM($F86:M86)</f>
        <v>0</v>
      </c>
      <c r="AA86" s="139">
        <f>SUM($F86:N86)</f>
        <v>67973.25</v>
      </c>
      <c r="AB86" s="139">
        <f>SUM($F86:O86)</f>
        <v>74842.83</v>
      </c>
      <c r="AC86" s="139">
        <f>SUM($F86:P86)</f>
        <v>74842.83</v>
      </c>
      <c r="AD86" s="139">
        <f>SUM($F86:Q86)</f>
        <v>74842.83</v>
      </c>
    </row>
    <row r="87" spans="1:30" x14ac:dyDescent="0.25">
      <c r="A87" s="106">
        <v>82</v>
      </c>
      <c r="C87" s="1" t="s">
        <v>55</v>
      </c>
      <c r="E87" s="101"/>
      <c r="F87" s="138"/>
      <c r="G87" s="138"/>
      <c r="H87" s="138"/>
      <c r="I87" s="138"/>
      <c r="J87" s="138"/>
      <c r="K87" s="138"/>
      <c r="L87" s="138"/>
      <c r="M87" s="138"/>
      <c r="N87" s="138">
        <v>2250</v>
      </c>
      <c r="O87" s="138">
        <f>2500-2250</f>
        <v>250</v>
      </c>
      <c r="P87" s="138"/>
      <c r="Q87" s="138"/>
      <c r="R87" s="139">
        <f t="shared" si="38"/>
        <v>2500</v>
      </c>
      <c r="S87" s="139">
        <f t="shared" si="39"/>
        <v>0</v>
      </c>
      <c r="T87" s="139">
        <f>SUM($F87:G87)</f>
        <v>0</v>
      </c>
      <c r="U87" s="139">
        <f>SUM($F87:H87)</f>
        <v>0</v>
      </c>
      <c r="V87" s="139">
        <f>SUM($F87:I87)</f>
        <v>0</v>
      </c>
      <c r="W87" s="139">
        <f>SUM($F87:J87)</f>
        <v>0</v>
      </c>
      <c r="X87" s="139">
        <f>SUM($F87:K87)</f>
        <v>0</v>
      </c>
      <c r="Y87" s="139">
        <f>SUM($F87:L87)</f>
        <v>0</v>
      </c>
      <c r="Z87" s="139">
        <f>SUM($F87:M87)</f>
        <v>0</v>
      </c>
      <c r="AA87" s="139">
        <f>SUM($F87:N87)</f>
        <v>2250</v>
      </c>
      <c r="AB87" s="139">
        <f>SUM($F87:O87)</f>
        <v>2500</v>
      </c>
      <c r="AC87" s="139">
        <f>SUM($F87:P87)</f>
        <v>2500</v>
      </c>
      <c r="AD87" s="139">
        <f>SUM($F87:Q87)</f>
        <v>2500</v>
      </c>
    </row>
    <row r="88" spans="1:30" x14ac:dyDescent="0.25">
      <c r="A88" s="106">
        <v>83</v>
      </c>
      <c r="C88" s="1" t="s">
        <v>56</v>
      </c>
      <c r="E88" s="101"/>
      <c r="F88" s="138"/>
      <c r="G88" s="138"/>
      <c r="H88" s="138"/>
      <c r="I88" s="138"/>
      <c r="J88" s="138"/>
      <c r="K88" s="138"/>
      <c r="L88" s="138"/>
      <c r="M88" s="138"/>
      <c r="N88" s="138">
        <v>25290.99</v>
      </c>
      <c r="O88" s="138">
        <f>28101.1-25290.99</f>
        <v>2810.1099999999969</v>
      </c>
      <c r="P88" s="138"/>
      <c r="Q88" s="138"/>
      <c r="R88" s="139">
        <f t="shared" si="38"/>
        <v>28101.1</v>
      </c>
      <c r="S88" s="139">
        <f t="shared" si="39"/>
        <v>0</v>
      </c>
      <c r="T88" s="139">
        <f>SUM($F88:G88)</f>
        <v>0</v>
      </c>
      <c r="U88" s="139">
        <f>SUM($F88:H88)</f>
        <v>0</v>
      </c>
      <c r="V88" s="139">
        <f>SUM($F88:I88)</f>
        <v>0</v>
      </c>
      <c r="W88" s="139">
        <f>SUM($F88:J88)</f>
        <v>0</v>
      </c>
      <c r="X88" s="139">
        <f>SUM($F88:K88)</f>
        <v>0</v>
      </c>
      <c r="Y88" s="139">
        <f>SUM($F88:L88)</f>
        <v>0</v>
      </c>
      <c r="Z88" s="139">
        <f>SUM($F88:M88)</f>
        <v>0</v>
      </c>
      <c r="AA88" s="139">
        <f>SUM($F88:N88)</f>
        <v>25290.99</v>
      </c>
      <c r="AB88" s="139">
        <f>SUM($F88:O88)</f>
        <v>28101.1</v>
      </c>
      <c r="AC88" s="139">
        <f>SUM($F88:P88)</f>
        <v>28101.1</v>
      </c>
      <c r="AD88" s="139">
        <f>SUM($F88:Q88)</f>
        <v>28101.1</v>
      </c>
    </row>
    <row r="89" spans="1:30" x14ac:dyDescent="0.25">
      <c r="A89" s="106">
        <v>84</v>
      </c>
      <c r="C89" s="1" t="s">
        <v>57</v>
      </c>
      <c r="E89" s="101"/>
      <c r="F89" s="138"/>
      <c r="G89" s="138"/>
      <c r="H89" s="138"/>
      <c r="I89" s="138"/>
      <c r="J89" s="138"/>
      <c r="K89" s="138"/>
      <c r="L89" s="138"/>
      <c r="M89" s="138"/>
      <c r="N89" s="138">
        <v>3957.4</v>
      </c>
      <c r="O89" s="138">
        <v>0</v>
      </c>
      <c r="P89" s="138"/>
      <c r="Q89" s="138"/>
      <c r="R89" s="139">
        <f t="shared" si="38"/>
        <v>3957.4</v>
      </c>
      <c r="S89" s="139">
        <f t="shared" si="39"/>
        <v>0</v>
      </c>
      <c r="T89" s="139">
        <f>SUM($F89:G89)</f>
        <v>0</v>
      </c>
      <c r="U89" s="139">
        <f>SUM($F89:H89)</f>
        <v>0</v>
      </c>
      <c r="V89" s="139">
        <f>SUM($F89:I89)</f>
        <v>0</v>
      </c>
      <c r="W89" s="139">
        <f>SUM($F89:J89)</f>
        <v>0</v>
      </c>
      <c r="X89" s="139">
        <f>SUM($F89:K89)</f>
        <v>0</v>
      </c>
      <c r="Y89" s="139">
        <f>SUM($F89:L89)</f>
        <v>0</v>
      </c>
      <c r="Z89" s="139">
        <f>SUM($F89:M89)</f>
        <v>0</v>
      </c>
      <c r="AA89" s="139">
        <f>SUM($F89:N89)</f>
        <v>3957.4</v>
      </c>
      <c r="AB89" s="139">
        <f>SUM($F89:O89)</f>
        <v>3957.4</v>
      </c>
      <c r="AC89" s="139">
        <f>SUM($F89:P89)</f>
        <v>3957.4</v>
      </c>
      <c r="AD89" s="139">
        <f>SUM($F89:Q89)</f>
        <v>3957.4</v>
      </c>
    </row>
    <row r="90" spans="1:30" x14ac:dyDescent="0.25">
      <c r="A90" s="106">
        <v>85</v>
      </c>
      <c r="C90" s="1" t="s">
        <v>58</v>
      </c>
      <c r="E90" s="101"/>
      <c r="F90" s="138"/>
      <c r="G90" s="138"/>
      <c r="H90" s="138"/>
      <c r="I90" s="138"/>
      <c r="J90" s="138"/>
      <c r="K90" s="138"/>
      <c r="L90" s="138"/>
      <c r="M90" s="138"/>
      <c r="N90" s="138">
        <v>2239.13</v>
      </c>
      <c r="O90" s="138">
        <v>0</v>
      </c>
      <c r="P90" s="138"/>
      <c r="Q90" s="138"/>
      <c r="R90" s="139">
        <f t="shared" si="38"/>
        <v>2239.13</v>
      </c>
      <c r="S90" s="139">
        <f t="shared" si="39"/>
        <v>0</v>
      </c>
      <c r="T90" s="139">
        <f>SUM($F90:G90)</f>
        <v>0</v>
      </c>
      <c r="U90" s="139">
        <f>SUM($F90:H90)</f>
        <v>0</v>
      </c>
      <c r="V90" s="139">
        <f>SUM($F90:I90)</f>
        <v>0</v>
      </c>
      <c r="W90" s="139">
        <f>SUM($F90:J90)</f>
        <v>0</v>
      </c>
      <c r="X90" s="139">
        <f>SUM($F90:K90)</f>
        <v>0</v>
      </c>
      <c r="Y90" s="139">
        <f>SUM($F90:L90)</f>
        <v>0</v>
      </c>
      <c r="Z90" s="139">
        <f>SUM($F90:M90)</f>
        <v>0</v>
      </c>
      <c r="AA90" s="139">
        <f>SUM($F90:N90)</f>
        <v>2239.13</v>
      </c>
      <c r="AB90" s="139">
        <f>SUM($F90:O90)</f>
        <v>2239.13</v>
      </c>
      <c r="AC90" s="139">
        <f>SUM($F90:P90)</f>
        <v>2239.13</v>
      </c>
      <c r="AD90" s="139">
        <f>SUM($F90:Q90)</f>
        <v>2239.13</v>
      </c>
    </row>
    <row r="91" spans="1:30" s="5" customFormat="1" x14ac:dyDescent="0.25">
      <c r="A91" s="106">
        <v>86</v>
      </c>
      <c r="B91" s="33" t="s">
        <v>59</v>
      </c>
      <c r="C91" s="33"/>
      <c r="D91" s="33"/>
      <c r="E91" s="96"/>
      <c r="F91" s="149">
        <f t="shared" ref="F91:Q91" si="40">SUM(F86:F90)</f>
        <v>0</v>
      </c>
      <c r="G91" s="149">
        <f t="shared" si="40"/>
        <v>0</v>
      </c>
      <c r="H91" s="149">
        <f t="shared" si="40"/>
        <v>0</v>
      </c>
      <c r="I91" s="149">
        <f t="shared" si="40"/>
        <v>0</v>
      </c>
      <c r="J91" s="149">
        <f t="shared" si="40"/>
        <v>0</v>
      </c>
      <c r="K91" s="149">
        <f t="shared" si="40"/>
        <v>0</v>
      </c>
      <c r="L91" s="149">
        <f t="shared" si="40"/>
        <v>0</v>
      </c>
      <c r="M91" s="149">
        <f t="shared" si="40"/>
        <v>0</v>
      </c>
      <c r="N91" s="149">
        <f t="shared" si="40"/>
        <v>101710.77</v>
      </c>
      <c r="O91" s="149">
        <f t="shared" si="40"/>
        <v>9929.6899999999987</v>
      </c>
      <c r="P91" s="149">
        <f t="shared" si="40"/>
        <v>0</v>
      </c>
      <c r="Q91" s="149">
        <f t="shared" si="40"/>
        <v>0</v>
      </c>
      <c r="R91" s="149">
        <f>SUM(R86:R90)</f>
        <v>111640.45999999999</v>
      </c>
      <c r="S91" s="149">
        <f t="shared" ref="S91:AD91" si="41">SUM(S86:S90)</f>
        <v>0</v>
      </c>
      <c r="T91" s="149">
        <f t="shared" si="41"/>
        <v>0</v>
      </c>
      <c r="U91" s="149">
        <f t="shared" si="41"/>
        <v>0</v>
      </c>
      <c r="V91" s="149">
        <f t="shared" si="41"/>
        <v>0</v>
      </c>
      <c r="W91" s="149">
        <f t="shared" si="41"/>
        <v>0</v>
      </c>
      <c r="X91" s="149">
        <f t="shared" si="41"/>
        <v>0</v>
      </c>
      <c r="Y91" s="149">
        <f t="shared" si="41"/>
        <v>0</v>
      </c>
      <c r="Z91" s="149">
        <f t="shared" si="41"/>
        <v>0</v>
      </c>
      <c r="AA91" s="149">
        <f t="shared" si="41"/>
        <v>101710.77</v>
      </c>
      <c r="AB91" s="149">
        <f t="shared" si="41"/>
        <v>111640.45999999999</v>
      </c>
      <c r="AC91" s="149">
        <f t="shared" si="41"/>
        <v>111640.45999999999</v>
      </c>
      <c r="AD91" s="149">
        <f t="shared" si="41"/>
        <v>111640.45999999999</v>
      </c>
    </row>
    <row r="92" spans="1:30" ht="6.75" customHeight="1" x14ac:dyDescent="0.25">
      <c r="A92" s="106">
        <v>87</v>
      </c>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row>
    <row r="93" spans="1:30" x14ac:dyDescent="0.25">
      <c r="A93" s="106">
        <v>88</v>
      </c>
      <c r="B93" s="5" t="s">
        <v>60</v>
      </c>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row>
    <row r="94" spans="1:30" x14ac:dyDescent="0.25">
      <c r="A94" s="106">
        <v>89</v>
      </c>
      <c r="C94" s="1" t="s">
        <v>61</v>
      </c>
      <c r="E94" s="101"/>
      <c r="F94" s="138"/>
      <c r="G94" s="138"/>
      <c r="H94" s="138"/>
      <c r="I94" s="138"/>
      <c r="J94" s="138"/>
      <c r="K94" s="138"/>
      <c r="L94" s="138"/>
      <c r="M94" s="138"/>
      <c r="N94" s="138">
        <v>8630.2800000000007</v>
      </c>
      <c r="O94" s="138">
        <f>9589.2-8630.28</f>
        <v>958.92000000000007</v>
      </c>
      <c r="P94" s="138"/>
      <c r="Q94" s="138"/>
      <c r="R94" s="139">
        <f t="shared" ref="R94:R95" si="42">SUM(F94:Q94)</f>
        <v>9589.2000000000007</v>
      </c>
      <c r="S94" s="139">
        <f t="shared" ref="S94:S95" si="43">SUM(F94)</f>
        <v>0</v>
      </c>
      <c r="T94" s="139">
        <f>SUM($F94:G94)</f>
        <v>0</v>
      </c>
      <c r="U94" s="139">
        <f>SUM($F94:H94)</f>
        <v>0</v>
      </c>
      <c r="V94" s="139">
        <f>SUM($F94:I94)</f>
        <v>0</v>
      </c>
      <c r="W94" s="139">
        <f>SUM($F94:J94)</f>
        <v>0</v>
      </c>
      <c r="X94" s="139">
        <f>SUM($F94:K94)</f>
        <v>0</v>
      </c>
      <c r="Y94" s="139">
        <f>SUM($F94:L94)</f>
        <v>0</v>
      </c>
      <c r="Z94" s="139">
        <f>SUM($F94:M94)</f>
        <v>0</v>
      </c>
      <c r="AA94" s="139">
        <f>SUM($F94:N94)</f>
        <v>8630.2800000000007</v>
      </c>
      <c r="AB94" s="139">
        <f>SUM($F94:O94)</f>
        <v>9589.2000000000007</v>
      </c>
      <c r="AC94" s="139">
        <f>SUM($F94:P94)</f>
        <v>9589.2000000000007</v>
      </c>
      <c r="AD94" s="139">
        <f>SUM($F94:Q94)</f>
        <v>9589.2000000000007</v>
      </c>
    </row>
    <row r="95" spans="1:30" x14ac:dyDescent="0.25">
      <c r="A95" s="106">
        <v>90</v>
      </c>
      <c r="C95" s="1" t="s">
        <v>62</v>
      </c>
      <c r="E95" s="101"/>
      <c r="F95" s="138"/>
      <c r="G95" s="138"/>
      <c r="H95" s="138"/>
      <c r="I95" s="138"/>
      <c r="J95" s="138"/>
      <c r="K95" s="138"/>
      <c r="L95" s="138"/>
      <c r="M95" s="138"/>
      <c r="N95" s="138">
        <v>3749.94</v>
      </c>
      <c r="O95" s="138">
        <f>4166.6-3749.94</f>
        <v>416.66000000000031</v>
      </c>
      <c r="P95" s="138"/>
      <c r="Q95" s="138"/>
      <c r="R95" s="139">
        <f t="shared" si="42"/>
        <v>4166.6000000000004</v>
      </c>
      <c r="S95" s="139">
        <f t="shared" si="43"/>
        <v>0</v>
      </c>
      <c r="T95" s="139">
        <f>SUM($F95:G95)</f>
        <v>0</v>
      </c>
      <c r="U95" s="139">
        <f>SUM($F95:H95)</f>
        <v>0</v>
      </c>
      <c r="V95" s="139">
        <f>SUM($F95:I95)</f>
        <v>0</v>
      </c>
      <c r="W95" s="139">
        <f>SUM($F95:J95)</f>
        <v>0</v>
      </c>
      <c r="X95" s="139">
        <f>SUM($F95:K95)</f>
        <v>0</v>
      </c>
      <c r="Y95" s="139">
        <f>SUM($F95:L95)</f>
        <v>0</v>
      </c>
      <c r="Z95" s="139">
        <f>SUM($F95:M95)</f>
        <v>0</v>
      </c>
      <c r="AA95" s="139">
        <f>SUM($F95:N95)</f>
        <v>3749.94</v>
      </c>
      <c r="AB95" s="139">
        <f>SUM($F95:O95)</f>
        <v>4166.6000000000004</v>
      </c>
      <c r="AC95" s="139">
        <f>SUM($F95:P95)</f>
        <v>4166.6000000000004</v>
      </c>
      <c r="AD95" s="139">
        <f>SUM($F95:Q95)</f>
        <v>4166.6000000000004</v>
      </c>
    </row>
    <row r="96" spans="1:30" s="5" customFormat="1" x14ac:dyDescent="0.25">
      <c r="A96" s="106">
        <v>91</v>
      </c>
      <c r="B96" s="33" t="s">
        <v>63</v>
      </c>
      <c r="C96" s="33"/>
      <c r="D96" s="33"/>
      <c r="E96" s="96"/>
      <c r="F96" s="149">
        <f t="shared" ref="F96:Q96" si="44">SUM(F94:F95)</f>
        <v>0</v>
      </c>
      <c r="G96" s="149">
        <f t="shared" si="44"/>
        <v>0</v>
      </c>
      <c r="H96" s="149">
        <f t="shared" si="44"/>
        <v>0</v>
      </c>
      <c r="I96" s="149">
        <f t="shared" si="44"/>
        <v>0</v>
      </c>
      <c r="J96" s="149">
        <f t="shared" si="44"/>
        <v>0</v>
      </c>
      <c r="K96" s="149">
        <f t="shared" si="44"/>
        <v>0</v>
      </c>
      <c r="L96" s="149">
        <f t="shared" si="44"/>
        <v>0</v>
      </c>
      <c r="M96" s="149">
        <f t="shared" si="44"/>
        <v>0</v>
      </c>
      <c r="N96" s="149">
        <f t="shared" si="44"/>
        <v>12380.220000000001</v>
      </c>
      <c r="O96" s="149">
        <f t="shared" si="44"/>
        <v>1375.5800000000004</v>
      </c>
      <c r="P96" s="149">
        <f t="shared" si="44"/>
        <v>0</v>
      </c>
      <c r="Q96" s="149">
        <f t="shared" si="44"/>
        <v>0</v>
      </c>
      <c r="R96" s="149">
        <f>SUM(R94:R95)</f>
        <v>13755.800000000001</v>
      </c>
      <c r="S96" s="149">
        <f t="shared" ref="S96:AD96" si="45">SUM(S94:S95)</f>
        <v>0</v>
      </c>
      <c r="T96" s="149">
        <f t="shared" si="45"/>
        <v>0</v>
      </c>
      <c r="U96" s="149">
        <f t="shared" si="45"/>
        <v>0</v>
      </c>
      <c r="V96" s="149">
        <f t="shared" si="45"/>
        <v>0</v>
      </c>
      <c r="W96" s="149">
        <f t="shared" si="45"/>
        <v>0</v>
      </c>
      <c r="X96" s="149">
        <f t="shared" si="45"/>
        <v>0</v>
      </c>
      <c r="Y96" s="149">
        <f t="shared" si="45"/>
        <v>0</v>
      </c>
      <c r="Z96" s="149">
        <f t="shared" si="45"/>
        <v>0</v>
      </c>
      <c r="AA96" s="149">
        <f t="shared" si="45"/>
        <v>12380.220000000001</v>
      </c>
      <c r="AB96" s="149">
        <f t="shared" si="45"/>
        <v>13755.800000000001</v>
      </c>
      <c r="AC96" s="149">
        <f t="shared" si="45"/>
        <v>13755.800000000001</v>
      </c>
      <c r="AD96" s="149">
        <f t="shared" si="45"/>
        <v>13755.800000000001</v>
      </c>
    </row>
    <row r="97" spans="1:30" ht="4.5" customHeight="1" x14ac:dyDescent="0.25">
      <c r="A97" s="106">
        <v>92</v>
      </c>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row>
    <row r="98" spans="1:30" x14ac:dyDescent="0.25">
      <c r="A98" s="106">
        <v>93</v>
      </c>
      <c r="B98" s="5" t="s">
        <v>64</v>
      </c>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row>
    <row r="99" spans="1:30" x14ac:dyDescent="0.25">
      <c r="A99" s="106">
        <v>94</v>
      </c>
      <c r="C99" s="1" t="s">
        <v>61</v>
      </c>
      <c r="E99" s="101"/>
      <c r="F99" s="138"/>
      <c r="G99" s="138"/>
      <c r="H99" s="138"/>
      <c r="I99" s="138"/>
      <c r="J99" s="138"/>
      <c r="K99" s="138"/>
      <c r="L99" s="138"/>
      <c r="M99" s="138"/>
      <c r="N99" s="138">
        <v>10445.219999999999</v>
      </c>
      <c r="O99" s="138">
        <f>11605.8-10445.22</f>
        <v>1160.58</v>
      </c>
      <c r="P99" s="138"/>
      <c r="Q99" s="138"/>
      <c r="R99" s="139">
        <f t="shared" ref="R99:R100" si="46">SUM(F99:Q99)</f>
        <v>11605.8</v>
      </c>
      <c r="S99" s="139">
        <f t="shared" ref="S99:S100" si="47">SUM(F99)</f>
        <v>0</v>
      </c>
      <c r="T99" s="139">
        <f>SUM($F99:G99)</f>
        <v>0</v>
      </c>
      <c r="U99" s="139">
        <f>SUM($F99:H99)</f>
        <v>0</v>
      </c>
      <c r="V99" s="139">
        <f>SUM($F99:I99)</f>
        <v>0</v>
      </c>
      <c r="W99" s="139">
        <f>SUM($F99:J99)</f>
        <v>0</v>
      </c>
      <c r="X99" s="139">
        <f>SUM($F99:K99)</f>
        <v>0</v>
      </c>
      <c r="Y99" s="139">
        <f>SUM($F99:L99)</f>
        <v>0</v>
      </c>
      <c r="Z99" s="139">
        <f>SUM($F99:M99)</f>
        <v>0</v>
      </c>
      <c r="AA99" s="139">
        <f>SUM($F99:N99)</f>
        <v>10445.219999999999</v>
      </c>
      <c r="AB99" s="139">
        <f>SUM($F99:O99)</f>
        <v>11605.8</v>
      </c>
      <c r="AC99" s="139">
        <f>SUM($F99:P99)</f>
        <v>11605.8</v>
      </c>
      <c r="AD99" s="139">
        <f>SUM($F99:Q99)</f>
        <v>11605.8</v>
      </c>
    </row>
    <row r="100" spans="1:30" x14ac:dyDescent="0.25">
      <c r="A100" s="106">
        <v>95</v>
      </c>
      <c r="C100" s="1" t="s">
        <v>65</v>
      </c>
      <c r="E100" s="100"/>
      <c r="F100" s="138"/>
      <c r="G100" s="138"/>
      <c r="H100" s="138"/>
      <c r="I100" s="138"/>
      <c r="J100" s="138"/>
      <c r="K100" s="138"/>
      <c r="L100" s="138"/>
      <c r="M100" s="138"/>
      <c r="N100" s="138">
        <v>634.38</v>
      </c>
      <c r="O100" s="138">
        <f>776.88-634.38</f>
        <v>142.5</v>
      </c>
      <c r="P100" s="138"/>
      <c r="Q100" s="138"/>
      <c r="R100" s="139">
        <f t="shared" si="46"/>
        <v>776.88</v>
      </c>
      <c r="S100" s="139">
        <f t="shared" si="47"/>
        <v>0</v>
      </c>
      <c r="T100" s="139">
        <f>SUM($F100:G100)</f>
        <v>0</v>
      </c>
      <c r="U100" s="139">
        <f>SUM($F100:H100)</f>
        <v>0</v>
      </c>
      <c r="V100" s="139">
        <f>SUM($F100:I100)</f>
        <v>0</v>
      </c>
      <c r="W100" s="139">
        <f>SUM($F100:J100)</f>
        <v>0</v>
      </c>
      <c r="X100" s="139">
        <f>SUM($F100:K100)</f>
        <v>0</v>
      </c>
      <c r="Y100" s="139">
        <f>SUM($F100:L100)</f>
        <v>0</v>
      </c>
      <c r="Z100" s="139">
        <f>SUM($F100:M100)</f>
        <v>0</v>
      </c>
      <c r="AA100" s="139">
        <f>SUM($F100:N100)</f>
        <v>634.38</v>
      </c>
      <c r="AB100" s="139">
        <f>SUM($F100:O100)</f>
        <v>776.88</v>
      </c>
      <c r="AC100" s="139">
        <f>SUM($F100:P100)</f>
        <v>776.88</v>
      </c>
      <c r="AD100" s="139">
        <f>SUM($F100:Q100)</f>
        <v>776.88</v>
      </c>
    </row>
    <row r="101" spans="1:30" s="5" customFormat="1" x14ac:dyDescent="0.25">
      <c r="A101" s="106">
        <v>96</v>
      </c>
      <c r="B101" s="33" t="s">
        <v>66</v>
      </c>
      <c r="C101" s="33"/>
      <c r="D101" s="33"/>
      <c r="E101" s="96"/>
      <c r="F101" s="149">
        <f t="shared" ref="F101:Q101" si="48">SUM(F99:F100)</f>
        <v>0</v>
      </c>
      <c r="G101" s="149">
        <f t="shared" si="48"/>
        <v>0</v>
      </c>
      <c r="H101" s="149">
        <f t="shared" si="48"/>
        <v>0</v>
      </c>
      <c r="I101" s="149">
        <f t="shared" si="48"/>
        <v>0</v>
      </c>
      <c r="J101" s="149">
        <f t="shared" si="48"/>
        <v>0</v>
      </c>
      <c r="K101" s="149">
        <f t="shared" si="48"/>
        <v>0</v>
      </c>
      <c r="L101" s="149">
        <f t="shared" si="48"/>
        <v>0</v>
      </c>
      <c r="M101" s="149">
        <f t="shared" si="48"/>
        <v>0</v>
      </c>
      <c r="N101" s="149">
        <f t="shared" si="48"/>
        <v>11079.599999999999</v>
      </c>
      <c r="O101" s="149">
        <f t="shared" si="48"/>
        <v>1303.08</v>
      </c>
      <c r="P101" s="149">
        <f t="shared" si="48"/>
        <v>0</v>
      </c>
      <c r="Q101" s="149">
        <f t="shared" si="48"/>
        <v>0</v>
      </c>
      <c r="R101" s="149">
        <f>SUM(R99:R100)</f>
        <v>12382.679999999998</v>
      </c>
      <c r="S101" s="149">
        <f t="shared" ref="S101:AD101" si="49">SUM(S99:S100)</f>
        <v>0</v>
      </c>
      <c r="T101" s="149">
        <f t="shared" si="49"/>
        <v>0</v>
      </c>
      <c r="U101" s="149">
        <f t="shared" si="49"/>
        <v>0</v>
      </c>
      <c r="V101" s="149">
        <f t="shared" si="49"/>
        <v>0</v>
      </c>
      <c r="W101" s="149">
        <f t="shared" si="49"/>
        <v>0</v>
      </c>
      <c r="X101" s="149">
        <f t="shared" si="49"/>
        <v>0</v>
      </c>
      <c r="Y101" s="149">
        <f t="shared" si="49"/>
        <v>0</v>
      </c>
      <c r="Z101" s="149">
        <f t="shared" si="49"/>
        <v>0</v>
      </c>
      <c r="AA101" s="149">
        <f t="shared" si="49"/>
        <v>11079.599999999999</v>
      </c>
      <c r="AB101" s="149">
        <f t="shared" si="49"/>
        <v>12382.679999999998</v>
      </c>
      <c r="AC101" s="149">
        <f t="shared" si="49"/>
        <v>12382.679999999998</v>
      </c>
      <c r="AD101" s="149">
        <f t="shared" si="49"/>
        <v>12382.679999999998</v>
      </c>
    </row>
    <row r="102" spans="1:30" ht="6" customHeight="1" x14ac:dyDescent="0.25">
      <c r="A102" s="106">
        <v>97</v>
      </c>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row>
    <row r="103" spans="1:30" x14ac:dyDescent="0.25">
      <c r="A103" s="106">
        <v>98</v>
      </c>
      <c r="B103" s="5" t="s">
        <v>67</v>
      </c>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row>
    <row r="104" spans="1:30" x14ac:dyDescent="0.25">
      <c r="A104" s="106">
        <v>99</v>
      </c>
      <c r="C104" s="1" t="s">
        <v>61</v>
      </c>
      <c r="E104" s="101"/>
      <c r="F104" s="138"/>
      <c r="G104" s="138"/>
      <c r="H104" s="138"/>
      <c r="I104" s="138"/>
      <c r="J104" s="138"/>
      <c r="K104" s="138"/>
      <c r="L104" s="138"/>
      <c r="M104" s="138"/>
      <c r="N104" s="138">
        <v>26740.44</v>
      </c>
      <c r="O104" s="138">
        <f>29711.6-26740.44</f>
        <v>2971.16</v>
      </c>
      <c r="P104" s="138"/>
      <c r="Q104" s="138"/>
      <c r="R104" s="139">
        <f t="shared" ref="R104:R109" si="50">SUM(F104:Q104)</f>
        <v>29711.599999999999</v>
      </c>
      <c r="S104" s="139">
        <f t="shared" ref="S104:S109" si="51">SUM(F104)</f>
        <v>0</v>
      </c>
      <c r="T104" s="139">
        <f>SUM($F104:G104)</f>
        <v>0</v>
      </c>
      <c r="U104" s="139">
        <f>SUM($F104:H104)</f>
        <v>0</v>
      </c>
      <c r="V104" s="139">
        <f>SUM($F104:I104)</f>
        <v>0</v>
      </c>
      <c r="W104" s="139">
        <f>SUM($F104:J104)</f>
        <v>0</v>
      </c>
      <c r="X104" s="139">
        <f>SUM($F104:K104)</f>
        <v>0</v>
      </c>
      <c r="Y104" s="139">
        <f>SUM($F104:L104)</f>
        <v>0</v>
      </c>
      <c r="Z104" s="139">
        <f>SUM($F104:M104)</f>
        <v>0</v>
      </c>
      <c r="AA104" s="139">
        <f>SUM($F104:N104)</f>
        <v>26740.44</v>
      </c>
      <c r="AB104" s="139">
        <f>SUM($F104:O104)</f>
        <v>29711.599999999999</v>
      </c>
      <c r="AC104" s="139">
        <f>SUM($F104:P104)</f>
        <v>29711.599999999999</v>
      </c>
      <c r="AD104" s="139">
        <f>SUM($F104:Q104)</f>
        <v>29711.599999999999</v>
      </c>
    </row>
    <row r="105" spans="1:30" x14ac:dyDescent="0.25">
      <c r="A105" s="106">
        <v>100</v>
      </c>
      <c r="C105" s="1" t="s">
        <v>56</v>
      </c>
      <c r="E105" s="101"/>
      <c r="F105" s="138"/>
      <c r="G105" s="138"/>
      <c r="H105" s="138"/>
      <c r="I105" s="138"/>
      <c r="J105" s="138"/>
      <c r="K105" s="138"/>
      <c r="L105" s="138"/>
      <c r="M105" s="138"/>
      <c r="N105" s="138">
        <v>3556.53</v>
      </c>
      <c r="O105" s="138">
        <f>3951.7-3556.53</f>
        <v>395.16999999999962</v>
      </c>
      <c r="P105" s="138"/>
      <c r="Q105" s="138"/>
      <c r="R105" s="139">
        <f t="shared" si="50"/>
        <v>3951.7</v>
      </c>
      <c r="S105" s="139">
        <f t="shared" si="51"/>
        <v>0</v>
      </c>
      <c r="T105" s="139">
        <f>SUM($F105:G105)</f>
        <v>0</v>
      </c>
      <c r="U105" s="139">
        <f>SUM($F105:H105)</f>
        <v>0</v>
      </c>
      <c r="V105" s="139">
        <f>SUM($F105:I105)</f>
        <v>0</v>
      </c>
      <c r="W105" s="139">
        <f>SUM($F105:J105)</f>
        <v>0</v>
      </c>
      <c r="X105" s="139">
        <f>SUM($F105:K105)</f>
        <v>0</v>
      </c>
      <c r="Y105" s="139">
        <f>SUM($F105:L105)</f>
        <v>0</v>
      </c>
      <c r="Z105" s="139">
        <f>SUM($F105:M105)</f>
        <v>0</v>
      </c>
      <c r="AA105" s="139">
        <f>SUM($F105:N105)</f>
        <v>3556.53</v>
      </c>
      <c r="AB105" s="139">
        <f>SUM($F105:O105)</f>
        <v>3951.7</v>
      </c>
      <c r="AC105" s="139">
        <f>SUM($F105:P105)</f>
        <v>3951.7</v>
      </c>
      <c r="AD105" s="139">
        <f>SUM($F105:Q105)</f>
        <v>3951.7</v>
      </c>
    </row>
    <row r="106" spans="1:30" x14ac:dyDescent="0.25">
      <c r="A106" s="106">
        <v>101</v>
      </c>
      <c r="C106" s="1" t="s">
        <v>58</v>
      </c>
      <c r="E106" s="101"/>
      <c r="F106" s="138"/>
      <c r="G106" s="138"/>
      <c r="H106" s="138"/>
      <c r="I106" s="138"/>
      <c r="J106" s="138"/>
      <c r="K106" s="138"/>
      <c r="L106" s="138"/>
      <c r="M106" s="138"/>
      <c r="N106" s="138">
        <v>379.8</v>
      </c>
      <c r="O106" s="138">
        <v>0</v>
      </c>
      <c r="P106" s="138"/>
      <c r="Q106" s="138"/>
      <c r="R106" s="139">
        <f t="shared" si="50"/>
        <v>379.8</v>
      </c>
      <c r="S106" s="139">
        <f t="shared" si="51"/>
        <v>0</v>
      </c>
      <c r="T106" s="139">
        <f>SUM($F106:G106)</f>
        <v>0</v>
      </c>
      <c r="U106" s="139">
        <f>SUM($F106:H106)</f>
        <v>0</v>
      </c>
      <c r="V106" s="139">
        <f>SUM($F106:I106)</f>
        <v>0</v>
      </c>
      <c r="W106" s="139">
        <f>SUM($F106:J106)</f>
        <v>0</v>
      </c>
      <c r="X106" s="139">
        <f>SUM($F106:K106)</f>
        <v>0</v>
      </c>
      <c r="Y106" s="139">
        <f>SUM($F106:L106)</f>
        <v>0</v>
      </c>
      <c r="Z106" s="139">
        <f>SUM($F106:M106)</f>
        <v>0</v>
      </c>
      <c r="AA106" s="139">
        <f>SUM($F106:N106)</f>
        <v>379.8</v>
      </c>
      <c r="AB106" s="139">
        <f>SUM($F106:O106)</f>
        <v>379.8</v>
      </c>
      <c r="AC106" s="139">
        <f>SUM($F106:P106)</f>
        <v>379.8</v>
      </c>
      <c r="AD106" s="139">
        <f>SUM($F106:Q106)</f>
        <v>379.8</v>
      </c>
    </row>
    <row r="107" spans="1:30" x14ac:dyDescent="0.25">
      <c r="A107" s="106">
        <v>102</v>
      </c>
      <c r="C107" s="1" t="s">
        <v>57</v>
      </c>
      <c r="E107" s="101"/>
      <c r="F107" s="138"/>
      <c r="G107" s="138"/>
      <c r="H107" s="138"/>
      <c r="I107" s="138"/>
      <c r="J107" s="138"/>
      <c r="K107" s="138"/>
      <c r="L107" s="138"/>
      <c r="M107" s="138"/>
      <c r="N107" s="138">
        <v>2000</v>
      </c>
      <c r="O107" s="138">
        <v>0</v>
      </c>
      <c r="P107" s="138"/>
      <c r="Q107" s="138"/>
      <c r="R107" s="139">
        <f t="shared" si="50"/>
        <v>2000</v>
      </c>
      <c r="S107" s="139">
        <f t="shared" si="51"/>
        <v>0</v>
      </c>
      <c r="T107" s="139">
        <f>SUM($F107:G107)</f>
        <v>0</v>
      </c>
      <c r="U107" s="139">
        <f>SUM($F107:H107)</f>
        <v>0</v>
      </c>
      <c r="V107" s="139">
        <f>SUM($F107:I107)</f>
        <v>0</v>
      </c>
      <c r="W107" s="139">
        <f>SUM($F107:J107)</f>
        <v>0</v>
      </c>
      <c r="X107" s="139">
        <f>SUM($F107:K107)</f>
        <v>0</v>
      </c>
      <c r="Y107" s="139">
        <f>SUM($F107:L107)</f>
        <v>0</v>
      </c>
      <c r="Z107" s="139">
        <f>SUM($F107:M107)</f>
        <v>0</v>
      </c>
      <c r="AA107" s="139">
        <f>SUM($F107:N107)</f>
        <v>2000</v>
      </c>
      <c r="AB107" s="139">
        <f>SUM($F107:O107)</f>
        <v>2000</v>
      </c>
      <c r="AC107" s="139">
        <f>SUM($F107:P107)</f>
        <v>2000</v>
      </c>
      <c r="AD107" s="139">
        <f>SUM($F107:Q107)</f>
        <v>2000</v>
      </c>
    </row>
    <row r="108" spans="1:30" x14ac:dyDescent="0.25">
      <c r="A108" s="106">
        <v>103</v>
      </c>
      <c r="C108" s="1" t="s">
        <v>62</v>
      </c>
      <c r="E108" s="101"/>
      <c r="F108" s="138"/>
      <c r="G108" s="138"/>
      <c r="H108" s="138"/>
      <c r="I108" s="138"/>
      <c r="J108" s="138"/>
      <c r="K108" s="138"/>
      <c r="L108" s="138"/>
      <c r="M108" s="138"/>
      <c r="N108" s="138">
        <v>1010.81</v>
      </c>
      <c r="O108" s="138">
        <f>1106.3-1010.81</f>
        <v>95.490000000000009</v>
      </c>
      <c r="P108" s="138"/>
      <c r="Q108" s="138"/>
      <c r="R108" s="139">
        <f t="shared" si="50"/>
        <v>1106.3</v>
      </c>
      <c r="S108" s="139">
        <f t="shared" si="51"/>
        <v>0</v>
      </c>
      <c r="T108" s="139">
        <f>SUM($F108:G108)</f>
        <v>0</v>
      </c>
      <c r="U108" s="139">
        <f>SUM($F108:H108)</f>
        <v>0</v>
      </c>
      <c r="V108" s="139">
        <f>SUM($F108:I108)</f>
        <v>0</v>
      </c>
      <c r="W108" s="139">
        <f>SUM($F108:J108)</f>
        <v>0</v>
      </c>
      <c r="X108" s="139">
        <f>SUM($F108:K108)</f>
        <v>0</v>
      </c>
      <c r="Y108" s="139">
        <f>SUM($F108:L108)</f>
        <v>0</v>
      </c>
      <c r="Z108" s="139">
        <f>SUM($F108:M108)</f>
        <v>0</v>
      </c>
      <c r="AA108" s="139">
        <f>SUM($F108:N108)</f>
        <v>1010.81</v>
      </c>
      <c r="AB108" s="139">
        <f>SUM($F108:O108)</f>
        <v>1106.3</v>
      </c>
      <c r="AC108" s="139">
        <f>SUM($F108:P108)</f>
        <v>1106.3</v>
      </c>
      <c r="AD108" s="139">
        <f>SUM($F108:Q108)</f>
        <v>1106.3</v>
      </c>
    </row>
    <row r="109" spans="1:30" x14ac:dyDescent="0.25">
      <c r="A109" s="106">
        <v>104</v>
      </c>
      <c r="C109" s="1" t="s">
        <v>68</v>
      </c>
      <c r="E109" s="101"/>
      <c r="F109" s="138"/>
      <c r="G109" s="138"/>
      <c r="H109" s="138"/>
      <c r="I109" s="138"/>
      <c r="J109" s="138"/>
      <c r="K109" s="138"/>
      <c r="L109" s="138"/>
      <c r="M109" s="138"/>
      <c r="N109" s="138">
        <v>972.9</v>
      </c>
      <c r="O109" s="138">
        <f>1081-972.9</f>
        <v>108.10000000000002</v>
      </c>
      <c r="P109" s="138"/>
      <c r="Q109" s="138"/>
      <c r="R109" s="139">
        <f t="shared" si="50"/>
        <v>1081</v>
      </c>
      <c r="S109" s="139">
        <f t="shared" si="51"/>
        <v>0</v>
      </c>
      <c r="T109" s="139">
        <f>SUM($F109:G109)</f>
        <v>0</v>
      </c>
      <c r="U109" s="139">
        <f>SUM($F109:H109)</f>
        <v>0</v>
      </c>
      <c r="V109" s="139">
        <f>SUM($F109:I109)</f>
        <v>0</v>
      </c>
      <c r="W109" s="139">
        <f>SUM($F109:J109)</f>
        <v>0</v>
      </c>
      <c r="X109" s="139">
        <f>SUM($F109:K109)</f>
        <v>0</v>
      </c>
      <c r="Y109" s="139">
        <f>SUM($F109:L109)</f>
        <v>0</v>
      </c>
      <c r="Z109" s="139">
        <f>SUM($F109:M109)</f>
        <v>0</v>
      </c>
      <c r="AA109" s="139">
        <f>SUM($F109:N109)</f>
        <v>972.9</v>
      </c>
      <c r="AB109" s="139">
        <f>SUM($F109:O109)</f>
        <v>1081</v>
      </c>
      <c r="AC109" s="139">
        <f>SUM($F109:P109)</f>
        <v>1081</v>
      </c>
      <c r="AD109" s="139">
        <f>SUM($F109:Q109)</f>
        <v>1081</v>
      </c>
    </row>
    <row r="110" spans="1:30" s="5" customFormat="1" x14ac:dyDescent="0.25">
      <c r="A110" s="106">
        <v>105</v>
      </c>
      <c r="B110" s="33" t="s">
        <v>69</v>
      </c>
      <c r="C110" s="33"/>
      <c r="D110" s="33"/>
      <c r="E110" s="96"/>
      <c r="F110" s="149">
        <f t="shared" ref="F110" si="52">SUM(F104:F109)</f>
        <v>0</v>
      </c>
      <c r="G110" s="149">
        <f t="shared" ref="G110:Q110" si="53">SUM(G104:G109)</f>
        <v>0</v>
      </c>
      <c r="H110" s="149">
        <f t="shared" si="53"/>
        <v>0</v>
      </c>
      <c r="I110" s="149">
        <f t="shared" si="53"/>
        <v>0</v>
      </c>
      <c r="J110" s="149">
        <f t="shared" si="53"/>
        <v>0</v>
      </c>
      <c r="K110" s="149">
        <f t="shared" si="53"/>
        <v>0</v>
      </c>
      <c r="L110" s="149">
        <f t="shared" si="53"/>
        <v>0</v>
      </c>
      <c r="M110" s="149">
        <f t="shared" si="53"/>
        <v>0</v>
      </c>
      <c r="N110" s="149">
        <f t="shared" si="53"/>
        <v>34660.479999999996</v>
      </c>
      <c r="O110" s="149">
        <f t="shared" si="53"/>
        <v>3569.9199999999996</v>
      </c>
      <c r="P110" s="149">
        <f t="shared" si="53"/>
        <v>0</v>
      </c>
      <c r="Q110" s="149">
        <f t="shared" si="53"/>
        <v>0</v>
      </c>
      <c r="R110" s="149">
        <f>SUM(R104:R109)</f>
        <v>38230.400000000001</v>
      </c>
      <c r="S110" s="149">
        <f t="shared" ref="S110:AD110" si="54">SUM(S104:S109)</f>
        <v>0</v>
      </c>
      <c r="T110" s="149">
        <f t="shared" si="54"/>
        <v>0</v>
      </c>
      <c r="U110" s="149">
        <f t="shared" si="54"/>
        <v>0</v>
      </c>
      <c r="V110" s="149">
        <f t="shared" si="54"/>
        <v>0</v>
      </c>
      <c r="W110" s="149">
        <f t="shared" si="54"/>
        <v>0</v>
      </c>
      <c r="X110" s="149">
        <f t="shared" si="54"/>
        <v>0</v>
      </c>
      <c r="Y110" s="149">
        <f t="shared" si="54"/>
        <v>0</v>
      </c>
      <c r="Z110" s="149">
        <f t="shared" si="54"/>
        <v>0</v>
      </c>
      <c r="AA110" s="149">
        <f t="shared" si="54"/>
        <v>34660.479999999996</v>
      </c>
      <c r="AB110" s="149">
        <f t="shared" si="54"/>
        <v>38230.400000000001</v>
      </c>
      <c r="AC110" s="149">
        <f t="shared" si="54"/>
        <v>38230.400000000001</v>
      </c>
      <c r="AD110" s="149">
        <f t="shared" si="54"/>
        <v>38230.400000000001</v>
      </c>
    </row>
    <row r="111" spans="1:30" ht="6" customHeight="1" x14ac:dyDescent="0.25">
      <c r="A111" s="106">
        <v>106</v>
      </c>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row>
    <row r="112" spans="1:30" x14ac:dyDescent="0.25">
      <c r="A112" s="106">
        <v>107</v>
      </c>
      <c r="B112" s="5" t="s">
        <v>70</v>
      </c>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0" x14ac:dyDescent="0.25">
      <c r="A113" s="106">
        <v>108</v>
      </c>
      <c r="C113" s="1" t="s">
        <v>71</v>
      </c>
      <c r="E113" s="101"/>
      <c r="F113" s="138"/>
      <c r="G113" s="138"/>
      <c r="H113" s="138"/>
      <c r="I113" s="138"/>
      <c r="J113" s="138"/>
      <c r="K113" s="138"/>
      <c r="L113" s="138"/>
      <c r="M113" s="138"/>
      <c r="N113" s="138">
        <v>7185.06</v>
      </c>
      <c r="O113" s="138">
        <f>7983.4-7185.06</f>
        <v>798.33999999999924</v>
      </c>
      <c r="P113" s="138"/>
      <c r="Q113" s="138"/>
      <c r="R113" s="139">
        <f t="shared" ref="R113:R118" si="55">SUM(F113:Q113)</f>
        <v>7983.4</v>
      </c>
      <c r="S113" s="139">
        <f t="shared" ref="S113:S118" si="56">SUM(F113)</f>
        <v>0</v>
      </c>
      <c r="T113" s="139">
        <f>SUM($F113:G113)</f>
        <v>0</v>
      </c>
      <c r="U113" s="139">
        <f>SUM($F113:H113)</f>
        <v>0</v>
      </c>
      <c r="V113" s="139">
        <f>SUM($F113:I113)</f>
        <v>0</v>
      </c>
      <c r="W113" s="139">
        <f>SUM($F113:J113)</f>
        <v>0</v>
      </c>
      <c r="X113" s="139">
        <f>SUM($F113:K113)</f>
        <v>0</v>
      </c>
      <c r="Y113" s="139">
        <f>SUM($F113:L113)</f>
        <v>0</v>
      </c>
      <c r="Z113" s="139">
        <f>SUM($F113:M113)</f>
        <v>0</v>
      </c>
      <c r="AA113" s="139">
        <f>SUM($F113:N113)</f>
        <v>7185.06</v>
      </c>
      <c r="AB113" s="139">
        <f>SUM($F113:O113)</f>
        <v>7983.4</v>
      </c>
      <c r="AC113" s="139">
        <f>SUM($F113:P113)</f>
        <v>7983.4</v>
      </c>
      <c r="AD113" s="139">
        <f>SUM($F113:Q113)</f>
        <v>7983.4</v>
      </c>
    </row>
    <row r="114" spans="1:30" x14ac:dyDescent="0.25">
      <c r="A114" s="106">
        <v>109</v>
      </c>
      <c r="C114" s="1" t="s">
        <v>72</v>
      </c>
      <c r="E114" s="101"/>
      <c r="F114" s="138"/>
      <c r="G114" s="138"/>
      <c r="H114" s="138"/>
      <c r="I114" s="138"/>
      <c r="J114" s="138"/>
      <c r="K114" s="138"/>
      <c r="L114" s="138"/>
      <c r="M114" s="138"/>
      <c r="N114" s="138">
        <v>300</v>
      </c>
      <c r="O114" s="138">
        <v>0</v>
      </c>
      <c r="P114" s="138"/>
      <c r="Q114" s="138"/>
      <c r="R114" s="139">
        <f t="shared" si="55"/>
        <v>300</v>
      </c>
      <c r="S114" s="139">
        <f t="shared" si="56"/>
        <v>0</v>
      </c>
      <c r="T114" s="139">
        <f>SUM($F114:G114)</f>
        <v>0</v>
      </c>
      <c r="U114" s="139">
        <f>SUM($F114:H114)</f>
        <v>0</v>
      </c>
      <c r="V114" s="139">
        <f>SUM($F114:I114)</f>
        <v>0</v>
      </c>
      <c r="W114" s="139">
        <f>SUM($F114:J114)</f>
        <v>0</v>
      </c>
      <c r="X114" s="139">
        <f>SUM($F114:K114)</f>
        <v>0</v>
      </c>
      <c r="Y114" s="139">
        <f>SUM($F114:L114)</f>
        <v>0</v>
      </c>
      <c r="Z114" s="139">
        <f>SUM($F114:M114)</f>
        <v>0</v>
      </c>
      <c r="AA114" s="139">
        <f>SUM($F114:N114)</f>
        <v>300</v>
      </c>
      <c r="AB114" s="139">
        <f>SUM($F114:O114)</f>
        <v>300</v>
      </c>
      <c r="AC114" s="139">
        <f>SUM($F114:P114)</f>
        <v>300</v>
      </c>
      <c r="AD114" s="139">
        <f>SUM($F114:Q114)</f>
        <v>300</v>
      </c>
    </row>
    <row r="115" spans="1:30" x14ac:dyDescent="0.25">
      <c r="A115" s="106">
        <v>110</v>
      </c>
      <c r="C115" s="1" t="s">
        <v>73</v>
      </c>
      <c r="E115" s="101"/>
      <c r="F115" s="138"/>
      <c r="G115" s="138"/>
      <c r="H115" s="138"/>
      <c r="I115" s="138"/>
      <c r="J115" s="138"/>
      <c r="K115" s="138"/>
      <c r="L115" s="138"/>
      <c r="M115" s="138"/>
      <c r="N115" s="138">
        <v>14182.02</v>
      </c>
      <c r="O115" s="138">
        <f>15557.8-14182.02</f>
        <v>1375.7799999999988</v>
      </c>
      <c r="P115" s="138"/>
      <c r="Q115" s="138"/>
      <c r="R115" s="139">
        <f t="shared" si="55"/>
        <v>15557.8</v>
      </c>
      <c r="S115" s="139">
        <f t="shared" si="56"/>
        <v>0</v>
      </c>
      <c r="T115" s="139">
        <f>SUM($F115:G115)</f>
        <v>0</v>
      </c>
      <c r="U115" s="139">
        <f>SUM($F115:H115)</f>
        <v>0</v>
      </c>
      <c r="V115" s="139">
        <f>SUM($F115:I115)</f>
        <v>0</v>
      </c>
      <c r="W115" s="139">
        <f>SUM($F115:J115)</f>
        <v>0</v>
      </c>
      <c r="X115" s="139">
        <f>SUM($F115:K115)</f>
        <v>0</v>
      </c>
      <c r="Y115" s="139">
        <f>SUM($F115:L115)</f>
        <v>0</v>
      </c>
      <c r="Z115" s="139">
        <f>SUM($F115:M115)</f>
        <v>0</v>
      </c>
      <c r="AA115" s="139">
        <f>SUM($F115:N115)</f>
        <v>14182.02</v>
      </c>
      <c r="AB115" s="139">
        <f>SUM($F115:O115)</f>
        <v>15557.8</v>
      </c>
      <c r="AC115" s="139">
        <f>SUM($F115:P115)</f>
        <v>15557.8</v>
      </c>
      <c r="AD115" s="139">
        <f>SUM($F115:Q115)</f>
        <v>15557.8</v>
      </c>
    </row>
    <row r="116" spans="1:30" x14ac:dyDescent="0.25">
      <c r="A116" s="106">
        <v>111</v>
      </c>
      <c r="C116" s="1" t="s">
        <v>74</v>
      </c>
      <c r="E116" s="101"/>
      <c r="F116" s="138"/>
      <c r="G116" s="138"/>
      <c r="H116" s="138"/>
      <c r="I116" s="138"/>
      <c r="J116" s="138"/>
      <c r="K116" s="138"/>
      <c r="L116" s="138"/>
      <c r="M116" s="138"/>
      <c r="N116" s="138">
        <v>4699.1000000000004</v>
      </c>
      <c r="O116" s="138">
        <v>671.3</v>
      </c>
      <c r="P116" s="138"/>
      <c r="Q116" s="138"/>
      <c r="R116" s="139">
        <f t="shared" si="55"/>
        <v>5370.4000000000005</v>
      </c>
      <c r="S116" s="139">
        <f t="shared" si="56"/>
        <v>0</v>
      </c>
      <c r="T116" s="139">
        <f>SUM($F116:G116)</f>
        <v>0</v>
      </c>
      <c r="U116" s="139">
        <f>SUM($F116:H116)</f>
        <v>0</v>
      </c>
      <c r="V116" s="139">
        <f>SUM($F116:I116)</f>
        <v>0</v>
      </c>
      <c r="W116" s="139">
        <f>SUM($F116:J116)</f>
        <v>0</v>
      </c>
      <c r="X116" s="139">
        <f>SUM($F116:K116)</f>
        <v>0</v>
      </c>
      <c r="Y116" s="139">
        <f>SUM($F116:L116)</f>
        <v>0</v>
      </c>
      <c r="Z116" s="139">
        <f>SUM($F116:M116)</f>
        <v>0</v>
      </c>
      <c r="AA116" s="139">
        <f>SUM($F116:N116)</f>
        <v>4699.1000000000004</v>
      </c>
      <c r="AB116" s="139">
        <f>SUM($F116:O116)</f>
        <v>5370.4000000000005</v>
      </c>
      <c r="AC116" s="139">
        <f>SUM($F116:P116)</f>
        <v>5370.4000000000005</v>
      </c>
      <c r="AD116" s="139">
        <f>SUM($F116:Q116)</f>
        <v>5370.4000000000005</v>
      </c>
    </row>
    <row r="117" spans="1:30" x14ac:dyDescent="0.25">
      <c r="A117" s="106">
        <v>112</v>
      </c>
      <c r="C117" s="1" t="s">
        <v>75</v>
      </c>
      <c r="E117" s="101"/>
      <c r="F117" s="138"/>
      <c r="G117" s="138"/>
      <c r="H117" s="138"/>
      <c r="I117" s="138"/>
      <c r="J117" s="138"/>
      <c r="K117" s="138"/>
      <c r="L117" s="138"/>
      <c r="M117" s="138"/>
      <c r="N117" s="138">
        <v>1273.05</v>
      </c>
      <c r="O117" s="138">
        <v>141.44999999999999</v>
      </c>
      <c r="P117" s="138"/>
      <c r="Q117" s="138"/>
      <c r="R117" s="139">
        <f t="shared" si="55"/>
        <v>1414.5</v>
      </c>
      <c r="S117" s="139">
        <f t="shared" si="56"/>
        <v>0</v>
      </c>
      <c r="T117" s="139">
        <f>SUM($F117:G117)</f>
        <v>0</v>
      </c>
      <c r="U117" s="139">
        <f>SUM($F117:H117)</f>
        <v>0</v>
      </c>
      <c r="V117" s="139">
        <f>SUM($F117:I117)</f>
        <v>0</v>
      </c>
      <c r="W117" s="139">
        <f>SUM($F117:J117)</f>
        <v>0</v>
      </c>
      <c r="X117" s="139">
        <f>SUM($F117:K117)</f>
        <v>0</v>
      </c>
      <c r="Y117" s="139">
        <f>SUM($F117:L117)</f>
        <v>0</v>
      </c>
      <c r="Z117" s="139">
        <f>SUM($F117:M117)</f>
        <v>0</v>
      </c>
      <c r="AA117" s="139">
        <f>SUM($F117:N117)</f>
        <v>1273.05</v>
      </c>
      <c r="AB117" s="139">
        <f>SUM($F117:O117)</f>
        <v>1414.5</v>
      </c>
      <c r="AC117" s="139">
        <f>SUM($F117:P117)</f>
        <v>1414.5</v>
      </c>
      <c r="AD117" s="139">
        <f>SUM($F117:Q117)</f>
        <v>1414.5</v>
      </c>
    </row>
    <row r="118" spans="1:30" x14ac:dyDescent="0.25">
      <c r="A118" s="106">
        <v>113</v>
      </c>
      <c r="C118" s="1" t="s">
        <v>76</v>
      </c>
      <c r="E118" s="101"/>
      <c r="F118" s="138"/>
      <c r="G118" s="138"/>
      <c r="H118" s="138"/>
      <c r="I118" s="138"/>
      <c r="J118" s="138"/>
      <c r="K118" s="138"/>
      <c r="L118" s="138"/>
      <c r="M118" s="138"/>
      <c r="N118" s="138">
        <v>1850</v>
      </c>
      <c r="O118" s="138">
        <v>200</v>
      </c>
      <c r="P118" s="138"/>
      <c r="Q118" s="138"/>
      <c r="R118" s="139">
        <f t="shared" si="55"/>
        <v>2050</v>
      </c>
      <c r="S118" s="139">
        <f t="shared" si="56"/>
        <v>0</v>
      </c>
      <c r="T118" s="139">
        <f>SUM($F118:G118)</f>
        <v>0</v>
      </c>
      <c r="U118" s="139">
        <f>SUM($F118:H118)</f>
        <v>0</v>
      </c>
      <c r="V118" s="139">
        <f>SUM($F118:I118)</f>
        <v>0</v>
      </c>
      <c r="W118" s="139">
        <f>SUM($F118:J118)</f>
        <v>0</v>
      </c>
      <c r="X118" s="139">
        <f>SUM($F118:K118)</f>
        <v>0</v>
      </c>
      <c r="Y118" s="139">
        <f>SUM($F118:L118)</f>
        <v>0</v>
      </c>
      <c r="Z118" s="139">
        <f>SUM($F118:M118)</f>
        <v>0</v>
      </c>
      <c r="AA118" s="139">
        <f>SUM($F118:N118)</f>
        <v>1850</v>
      </c>
      <c r="AB118" s="139">
        <f>SUM($F118:O118)</f>
        <v>2050</v>
      </c>
      <c r="AC118" s="139">
        <f>SUM($F118:P118)</f>
        <v>2050</v>
      </c>
      <c r="AD118" s="139">
        <f>SUM($F118:Q118)</f>
        <v>2050</v>
      </c>
    </row>
    <row r="119" spans="1:30" s="5" customFormat="1" x14ac:dyDescent="0.25">
      <c r="A119" s="106">
        <v>114</v>
      </c>
      <c r="B119" s="33" t="s">
        <v>77</v>
      </c>
      <c r="C119" s="33"/>
      <c r="D119" s="33"/>
      <c r="E119" s="96"/>
      <c r="F119" s="149">
        <f t="shared" ref="F119:Q119" si="57">SUM(F113:F118)</f>
        <v>0</v>
      </c>
      <c r="G119" s="149">
        <f t="shared" si="57"/>
        <v>0</v>
      </c>
      <c r="H119" s="149">
        <f t="shared" si="57"/>
        <v>0</v>
      </c>
      <c r="I119" s="149">
        <f t="shared" si="57"/>
        <v>0</v>
      </c>
      <c r="J119" s="149">
        <f t="shared" si="57"/>
        <v>0</v>
      </c>
      <c r="K119" s="149">
        <f t="shared" si="57"/>
        <v>0</v>
      </c>
      <c r="L119" s="149">
        <f t="shared" si="57"/>
        <v>0</v>
      </c>
      <c r="M119" s="149">
        <f t="shared" si="57"/>
        <v>0</v>
      </c>
      <c r="N119" s="149">
        <f t="shared" si="57"/>
        <v>29489.23</v>
      </c>
      <c r="O119" s="149">
        <f t="shared" si="57"/>
        <v>3186.8699999999981</v>
      </c>
      <c r="P119" s="149">
        <f t="shared" si="57"/>
        <v>0</v>
      </c>
      <c r="Q119" s="149">
        <f t="shared" si="57"/>
        <v>0</v>
      </c>
      <c r="R119" s="149">
        <f>SUM(R113:R118)</f>
        <v>32676.1</v>
      </c>
      <c r="S119" s="149">
        <f t="shared" ref="S119:AD119" si="58">SUM(S113:S118)</f>
        <v>0</v>
      </c>
      <c r="T119" s="149">
        <f t="shared" si="58"/>
        <v>0</v>
      </c>
      <c r="U119" s="149">
        <f t="shared" si="58"/>
        <v>0</v>
      </c>
      <c r="V119" s="149">
        <f t="shared" si="58"/>
        <v>0</v>
      </c>
      <c r="W119" s="149">
        <f t="shared" si="58"/>
        <v>0</v>
      </c>
      <c r="X119" s="149">
        <f t="shared" si="58"/>
        <v>0</v>
      </c>
      <c r="Y119" s="149">
        <f t="shared" si="58"/>
        <v>0</v>
      </c>
      <c r="Z119" s="149">
        <f t="shared" si="58"/>
        <v>0</v>
      </c>
      <c r="AA119" s="149">
        <f t="shared" si="58"/>
        <v>29489.23</v>
      </c>
      <c r="AB119" s="149">
        <f t="shared" si="58"/>
        <v>32676.1</v>
      </c>
      <c r="AC119" s="149">
        <f t="shared" si="58"/>
        <v>32676.1</v>
      </c>
      <c r="AD119" s="149">
        <f t="shared" si="58"/>
        <v>32676.1</v>
      </c>
    </row>
    <row r="120" spans="1:30" ht="6.75" customHeight="1" x14ac:dyDescent="0.25">
      <c r="A120" s="106">
        <v>115</v>
      </c>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row>
    <row r="121" spans="1:30" x14ac:dyDescent="0.25">
      <c r="A121" s="106">
        <v>116</v>
      </c>
      <c r="B121" s="5" t="s">
        <v>78</v>
      </c>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row>
    <row r="122" spans="1:30" x14ac:dyDescent="0.25">
      <c r="A122" s="106">
        <v>117</v>
      </c>
      <c r="C122" s="1" t="s">
        <v>147</v>
      </c>
      <c r="E122" s="101"/>
      <c r="F122" s="138"/>
      <c r="G122" s="138"/>
      <c r="H122" s="138"/>
      <c r="I122" s="138"/>
      <c r="J122" s="138"/>
      <c r="K122" s="138"/>
      <c r="L122" s="138"/>
      <c r="M122" s="138"/>
      <c r="N122" s="138">
        <v>8541.98</v>
      </c>
      <c r="O122" s="138">
        <v>1333.5</v>
      </c>
      <c r="P122" s="138"/>
      <c r="Q122" s="138"/>
      <c r="R122" s="139">
        <f t="shared" ref="R122:R131" si="59">SUM(F122:Q122)</f>
        <v>9875.48</v>
      </c>
      <c r="S122" s="139">
        <f t="shared" ref="S122:S131" si="60">SUM(F122)</f>
        <v>0</v>
      </c>
      <c r="T122" s="139">
        <f>SUM($F122:G122)</f>
        <v>0</v>
      </c>
      <c r="U122" s="139">
        <f>SUM($F122:H122)</f>
        <v>0</v>
      </c>
      <c r="V122" s="139">
        <f>SUM($F122:I122)</f>
        <v>0</v>
      </c>
      <c r="W122" s="139">
        <f>SUM($F122:J122)</f>
        <v>0</v>
      </c>
      <c r="X122" s="139">
        <f>SUM($F122:K122)</f>
        <v>0</v>
      </c>
      <c r="Y122" s="139">
        <f>SUM($F122:L122)</f>
        <v>0</v>
      </c>
      <c r="Z122" s="139">
        <f>SUM($F122:M122)</f>
        <v>0</v>
      </c>
      <c r="AA122" s="139">
        <f>SUM($F122:N122)</f>
        <v>8541.98</v>
      </c>
      <c r="AB122" s="139">
        <f>SUM($F122:O122)</f>
        <v>9875.48</v>
      </c>
      <c r="AC122" s="139">
        <f>SUM($F122:P122)</f>
        <v>9875.48</v>
      </c>
      <c r="AD122" s="139">
        <f>SUM($F122:Q122)</f>
        <v>9875.48</v>
      </c>
    </row>
    <row r="123" spans="1:30" x14ac:dyDescent="0.25">
      <c r="A123" s="106">
        <v>118</v>
      </c>
      <c r="C123" s="1" t="s">
        <v>80</v>
      </c>
      <c r="E123" s="101"/>
      <c r="F123" s="138"/>
      <c r="G123" s="138"/>
      <c r="H123" s="138"/>
      <c r="I123" s="138"/>
      <c r="J123" s="138"/>
      <c r="K123" s="138"/>
      <c r="L123" s="138"/>
      <c r="M123" s="138"/>
      <c r="N123" s="138">
        <v>20868.060000000001</v>
      </c>
      <c r="O123" s="138">
        <v>3609.74</v>
      </c>
      <c r="P123" s="138"/>
      <c r="Q123" s="138"/>
      <c r="R123" s="139">
        <f t="shared" si="59"/>
        <v>24477.800000000003</v>
      </c>
      <c r="S123" s="139">
        <f t="shared" si="60"/>
        <v>0</v>
      </c>
      <c r="T123" s="139">
        <f>SUM($F123:G123)</f>
        <v>0</v>
      </c>
      <c r="U123" s="139">
        <f>SUM($F123:H123)</f>
        <v>0</v>
      </c>
      <c r="V123" s="139">
        <f>SUM($F123:I123)</f>
        <v>0</v>
      </c>
      <c r="W123" s="139">
        <f>SUM($F123:J123)</f>
        <v>0</v>
      </c>
      <c r="X123" s="139">
        <f>SUM($F123:K123)</f>
        <v>0</v>
      </c>
      <c r="Y123" s="139">
        <f>SUM($F123:L123)</f>
        <v>0</v>
      </c>
      <c r="Z123" s="139">
        <f>SUM($F123:M123)</f>
        <v>0</v>
      </c>
      <c r="AA123" s="139">
        <f>SUM($F123:N123)</f>
        <v>20868.060000000001</v>
      </c>
      <c r="AB123" s="139">
        <f>SUM($F123:O123)</f>
        <v>24477.800000000003</v>
      </c>
      <c r="AC123" s="139">
        <f>SUM($F123:P123)</f>
        <v>24477.800000000003</v>
      </c>
      <c r="AD123" s="139">
        <f>SUM($F123:Q123)</f>
        <v>24477.800000000003</v>
      </c>
    </row>
    <row r="124" spans="1:30" x14ac:dyDescent="0.25">
      <c r="A124" s="106">
        <v>119</v>
      </c>
      <c r="C124" s="1" t="s">
        <v>81</v>
      </c>
      <c r="E124" s="101"/>
      <c r="F124" s="138"/>
      <c r="G124" s="138"/>
      <c r="H124" s="138"/>
      <c r="I124" s="138"/>
      <c r="J124" s="138"/>
      <c r="K124" s="138"/>
      <c r="L124" s="138"/>
      <c r="M124" s="138"/>
      <c r="N124" s="138">
        <v>162.80000000000001</v>
      </c>
      <c r="O124" s="138">
        <v>0</v>
      </c>
      <c r="P124" s="138"/>
      <c r="Q124" s="138"/>
      <c r="R124" s="139">
        <f t="shared" si="59"/>
        <v>162.80000000000001</v>
      </c>
      <c r="S124" s="139">
        <f t="shared" si="60"/>
        <v>0</v>
      </c>
      <c r="T124" s="139">
        <f>SUM($F124:G124)</f>
        <v>0</v>
      </c>
      <c r="U124" s="139">
        <f>SUM($F124:H124)</f>
        <v>0</v>
      </c>
      <c r="V124" s="139">
        <f>SUM($F124:I124)</f>
        <v>0</v>
      </c>
      <c r="W124" s="139">
        <f>SUM($F124:J124)</f>
        <v>0</v>
      </c>
      <c r="X124" s="139">
        <f>SUM($F124:K124)</f>
        <v>0</v>
      </c>
      <c r="Y124" s="139">
        <f>SUM($F124:L124)</f>
        <v>0</v>
      </c>
      <c r="Z124" s="139">
        <f>SUM($F124:M124)</f>
        <v>0</v>
      </c>
      <c r="AA124" s="139">
        <f>SUM($F124:N124)</f>
        <v>162.80000000000001</v>
      </c>
      <c r="AB124" s="139">
        <f>SUM($F124:O124)</f>
        <v>162.80000000000001</v>
      </c>
      <c r="AC124" s="139">
        <f>SUM($F124:P124)</f>
        <v>162.80000000000001</v>
      </c>
      <c r="AD124" s="139">
        <f>SUM($F124:Q124)</f>
        <v>162.80000000000001</v>
      </c>
    </row>
    <row r="125" spans="1:30" x14ac:dyDescent="0.25">
      <c r="A125" s="106">
        <v>120</v>
      </c>
      <c r="C125" s="1" t="s">
        <v>82</v>
      </c>
      <c r="E125" s="101"/>
      <c r="F125" s="138"/>
      <c r="G125" s="138"/>
      <c r="H125" s="138"/>
      <c r="I125" s="138"/>
      <c r="J125" s="138"/>
      <c r="K125" s="138"/>
      <c r="L125" s="138"/>
      <c r="M125" s="138"/>
      <c r="N125" s="138">
        <v>45</v>
      </c>
      <c r="O125" s="138">
        <v>0</v>
      </c>
      <c r="P125" s="138"/>
      <c r="Q125" s="138"/>
      <c r="R125" s="139">
        <f t="shared" si="59"/>
        <v>45</v>
      </c>
      <c r="S125" s="139">
        <f t="shared" si="60"/>
        <v>0</v>
      </c>
      <c r="T125" s="139">
        <f>SUM($F125:G125)</f>
        <v>0</v>
      </c>
      <c r="U125" s="139">
        <f>SUM($F125:H125)</f>
        <v>0</v>
      </c>
      <c r="V125" s="139">
        <f>SUM($F125:I125)</f>
        <v>0</v>
      </c>
      <c r="W125" s="139">
        <f>SUM($F125:J125)</f>
        <v>0</v>
      </c>
      <c r="X125" s="139">
        <f>SUM($F125:K125)</f>
        <v>0</v>
      </c>
      <c r="Y125" s="139">
        <f>SUM($F125:L125)</f>
        <v>0</v>
      </c>
      <c r="Z125" s="139">
        <f>SUM($F125:M125)</f>
        <v>0</v>
      </c>
      <c r="AA125" s="139">
        <f>SUM($F125:N125)</f>
        <v>45</v>
      </c>
      <c r="AB125" s="139">
        <f>SUM($F125:O125)</f>
        <v>45</v>
      </c>
      <c r="AC125" s="139">
        <f>SUM($F125:P125)</f>
        <v>45</v>
      </c>
      <c r="AD125" s="139">
        <f>SUM($F125:Q125)</f>
        <v>45</v>
      </c>
    </row>
    <row r="126" spans="1:30" x14ac:dyDescent="0.25">
      <c r="A126" s="106">
        <v>121</v>
      </c>
      <c r="C126" s="1" t="s">
        <v>83</v>
      </c>
      <c r="E126" s="101"/>
      <c r="F126" s="138"/>
      <c r="G126" s="138"/>
      <c r="H126" s="138"/>
      <c r="I126" s="138"/>
      <c r="J126" s="138"/>
      <c r="K126" s="138"/>
      <c r="L126" s="138"/>
      <c r="M126" s="138"/>
      <c r="N126" s="138">
        <v>-21.13</v>
      </c>
      <c r="O126" s="138">
        <v>0</v>
      </c>
      <c r="P126" s="138"/>
      <c r="Q126" s="138"/>
      <c r="R126" s="139">
        <f t="shared" si="59"/>
        <v>-21.13</v>
      </c>
      <c r="S126" s="139">
        <f t="shared" si="60"/>
        <v>0</v>
      </c>
      <c r="T126" s="139">
        <f>SUM($F126:G126)</f>
        <v>0</v>
      </c>
      <c r="U126" s="139">
        <f>SUM($F126:H126)</f>
        <v>0</v>
      </c>
      <c r="V126" s="139">
        <f>SUM($F126:I126)</f>
        <v>0</v>
      </c>
      <c r="W126" s="139">
        <f>SUM($F126:J126)</f>
        <v>0</v>
      </c>
      <c r="X126" s="139">
        <f>SUM($F126:K126)</f>
        <v>0</v>
      </c>
      <c r="Y126" s="139">
        <f>SUM($F126:L126)</f>
        <v>0</v>
      </c>
      <c r="Z126" s="139">
        <f>SUM($F126:M126)</f>
        <v>0</v>
      </c>
      <c r="AA126" s="139">
        <f>SUM($F126:N126)</f>
        <v>-21.13</v>
      </c>
      <c r="AB126" s="139">
        <f>SUM($F126:O126)</f>
        <v>-21.13</v>
      </c>
      <c r="AC126" s="139">
        <f>SUM($F126:P126)</f>
        <v>-21.13</v>
      </c>
      <c r="AD126" s="139">
        <f>SUM($F126:Q126)</f>
        <v>-21.13</v>
      </c>
    </row>
    <row r="127" spans="1:30" x14ac:dyDescent="0.25">
      <c r="A127" s="106">
        <v>122</v>
      </c>
      <c r="C127" s="1" t="s">
        <v>125</v>
      </c>
      <c r="E127" s="101"/>
      <c r="F127" s="138"/>
      <c r="G127" s="138"/>
      <c r="H127" s="138"/>
      <c r="I127" s="138"/>
      <c r="J127" s="138"/>
      <c r="K127" s="138"/>
      <c r="L127" s="138"/>
      <c r="M127" s="138"/>
      <c r="N127" s="138">
        <v>12134.41</v>
      </c>
      <c r="O127" s="138">
        <v>2144.7600000000002</v>
      </c>
      <c r="P127" s="138"/>
      <c r="Q127" s="138"/>
      <c r="R127" s="139">
        <f t="shared" si="59"/>
        <v>14279.17</v>
      </c>
      <c r="S127" s="139">
        <f t="shared" si="60"/>
        <v>0</v>
      </c>
      <c r="T127" s="139">
        <f>SUM($F127:G127)</f>
        <v>0</v>
      </c>
      <c r="U127" s="139">
        <f>SUM($F127:H127)</f>
        <v>0</v>
      </c>
      <c r="V127" s="139">
        <f>SUM($F127:I127)</f>
        <v>0</v>
      </c>
      <c r="W127" s="139">
        <f>SUM($F127:J127)</f>
        <v>0</v>
      </c>
      <c r="X127" s="139">
        <f>SUM($F127:K127)</f>
        <v>0</v>
      </c>
      <c r="Y127" s="139">
        <f>SUM($F127:L127)</f>
        <v>0</v>
      </c>
      <c r="Z127" s="139">
        <f>SUM($F127:M127)</f>
        <v>0</v>
      </c>
      <c r="AA127" s="139">
        <f>SUM($F127:N127)</f>
        <v>12134.41</v>
      </c>
      <c r="AB127" s="139">
        <f>SUM($F127:O127)</f>
        <v>14279.17</v>
      </c>
      <c r="AC127" s="139">
        <f>SUM($F127:P127)</f>
        <v>14279.17</v>
      </c>
      <c r="AD127" s="139">
        <f>SUM($F127:Q127)</f>
        <v>14279.17</v>
      </c>
    </row>
    <row r="128" spans="1:30" x14ac:dyDescent="0.25">
      <c r="A128" s="106">
        <v>123</v>
      </c>
      <c r="C128" s="1" t="s">
        <v>84</v>
      </c>
      <c r="E128" s="101"/>
      <c r="F128" s="138"/>
      <c r="G128" s="138"/>
      <c r="H128" s="138"/>
      <c r="I128" s="138"/>
      <c r="J128" s="138"/>
      <c r="K128" s="138"/>
      <c r="L128" s="138"/>
      <c r="M128" s="138"/>
      <c r="N128" s="138">
        <v>6156.76</v>
      </c>
      <c r="O128" s="138">
        <v>772.96</v>
      </c>
      <c r="P128" s="138"/>
      <c r="Q128" s="138"/>
      <c r="R128" s="139">
        <f t="shared" si="59"/>
        <v>6929.72</v>
      </c>
      <c r="S128" s="139">
        <f t="shared" si="60"/>
        <v>0</v>
      </c>
      <c r="T128" s="139">
        <f>SUM($F128:G128)</f>
        <v>0</v>
      </c>
      <c r="U128" s="139">
        <f>SUM($F128:H128)</f>
        <v>0</v>
      </c>
      <c r="V128" s="139">
        <f>SUM($F128:I128)</f>
        <v>0</v>
      </c>
      <c r="W128" s="139">
        <f>SUM($F128:J128)</f>
        <v>0</v>
      </c>
      <c r="X128" s="139">
        <f>SUM($F128:K128)</f>
        <v>0</v>
      </c>
      <c r="Y128" s="139">
        <f>SUM($F128:L128)</f>
        <v>0</v>
      </c>
      <c r="Z128" s="139">
        <f>SUM($F128:M128)</f>
        <v>0</v>
      </c>
      <c r="AA128" s="139">
        <f>SUM($F128:N128)</f>
        <v>6156.76</v>
      </c>
      <c r="AB128" s="139">
        <f>SUM($F128:O128)</f>
        <v>6929.72</v>
      </c>
      <c r="AC128" s="139">
        <f>SUM($F128:P128)</f>
        <v>6929.72</v>
      </c>
      <c r="AD128" s="139">
        <f>SUM($F128:Q128)</f>
        <v>6929.72</v>
      </c>
    </row>
    <row r="129" spans="1:30" x14ac:dyDescent="0.25">
      <c r="A129" s="106">
        <v>124</v>
      </c>
      <c r="C129" s="1" t="s">
        <v>85</v>
      </c>
      <c r="E129" s="101"/>
      <c r="F129" s="138"/>
      <c r="G129" s="138"/>
      <c r="H129" s="138"/>
      <c r="I129" s="138"/>
      <c r="J129" s="138"/>
      <c r="K129" s="138"/>
      <c r="L129" s="138"/>
      <c r="M129" s="138"/>
      <c r="N129" s="138">
        <v>2574.25</v>
      </c>
      <c r="O129" s="138">
        <v>862.75</v>
      </c>
      <c r="P129" s="138"/>
      <c r="Q129" s="138"/>
      <c r="R129" s="139">
        <f t="shared" si="59"/>
        <v>3437</v>
      </c>
      <c r="S129" s="139">
        <f t="shared" si="60"/>
        <v>0</v>
      </c>
      <c r="T129" s="139">
        <f>SUM($F129:G129)</f>
        <v>0</v>
      </c>
      <c r="U129" s="139">
        <f>SUM($F129:H129)</f>
        <v>0</v>
      </c>
      <c r="V129" s="139">
        <f>SUM($F129:I129)</f>
        <v>0</v>
      </c>
      <c r="W129" s="139">
        <f>SUM($F129:J129)</f>
        <v>0</v>
      </c>
      <c r="X129" s="139">
        <f>SUM($F129:K129)</f>
        <v>0</v>
      </c>
      <c r="Y129" s="139">
        <f>SUM($F129:L129)</f>
        <v>0</v>
      </c>
      <c r="Z129" s="139">
        <f>SUM($F129:M129)</f>
        <v>0</v>
      </c>
      <c r="AA129" s="139">
        <f>SUM($F129:N129)</f>
        <v>2574.25</v>
      </c>
      <c r="AB129" s="139">
        <f>SUM($F129:O129)</f>
        <v>3437</v>
      </c>
      <c r="AC129" s="139">
        <f>SUM($F129:P129)</f>
        <v>3437</v>
      </c>
      <c r="AD129" s="139">
        <f>SUM($F129:Q129)</f>
        <v>3437</v>
      </c>
    </row>
    <row r="130" spans="1:30" x14ac:dyDescent="0.25">
      <c r="A130" s="106">
        <v>125</v>
      </c>
      <c r="C130" s="1" t="s">
        <v>86</v>
      </c>
      <c r="E130" s="101"/>
      <c r="F130" s="138"/>
      <c r="G130" s="138"/>
      <c r="H130" s="138"/>
      <c r="I130" s="138"/>
      <c r="J130" s="138"/>
      <c r="K130" s="138"/>
      <c r="L130" s="138"/>
      <c r="M130" s="138"/>
      <c r="N130" s="138">
        <v>350</v>
      </c>
      <c r="O130" s="138">
        <v>100</v>
      </c>
      <c r="P130" s="138"/>
      <c r="Q130" s="138"/>
      <c r="R130" s="139">
        <f t="shared" si="59"/>
        <v>450</v>
      </c>
      <c r="S130" s="139">
        <f t="shared" si="60"/>
        <v>0</v>
      </c>
      <c r="T130" s="139">
        <f>SUM($F130:G130)</f>
        <v>0</v>
      </c>
      <c r="U130" s="139">
        <f>SUM($F130:H130)</f>
        <v>0</v>
      </c>
      <c r="V130" s="139">
        <f>SUM($F130:I130)</f>
        <v>0</v>
      </c>
      <c r="W130" s="139">
        <f>SUM($F130:J130)</f>
        <v>0</v>
      </c>
      <c r="X130" s="139">
        <f>SUM($F130:K130)</f>
        <v>0</v>
      </c>
      <c r="Y130" s="139">
        <f>SUM($F130:L130)</f>
        <v>0</v>
      </c>
      <c r="Z130" s="139">
        <f>SUM($F130:M130)</f>
        <v>0</v>
      </c>
      <c r="AA130" s="139">
        <f>SUM($F130:N130)</f>
        <v>350</v>
      </c>
      <c r="AB130" s="139">
        <f>SUM($F130:O130)</f>
        <v>450</v>
      </c>
      <c r="AC130" s="139">
        <f>SUM($F130:P130)</f>
        <v>450</v>
      </c>
      <c r="AD130" s="139">
        <f>SUM($F130:Q130)</f>
        <v>450</v>
      </c>
    </row>
    <row r="131" spans="1:30" x14ac:dyDescent="0.25">
      <c r="A131" s="106">
        <v>126</v>
      </c>
      <c r="C131" s="1" t="s">
        <v>87</v>
      </c>
      <c r="E131" s="101"/>
      <c r="F131" s="138"/>
      <c r="G131" s="138"/>
      <c r="H131" s="138"/>
      <c r="I131" s="138"/>
      <c r="J131" s="138"/>
      <c r="K131" s="138"/>
      <c r="L131" s="138"/>
      <c r="M131" s="138"/>
      <c r="N131" s="138">
        <v>0</v>
      </c>
      <c r="O131" s="138">
        <v>0</v>
      </c>
      <c r="P131" s="138"/>
      <c r="Q131" s="138"/>
      <c r="R131" s="139">
        <f t="shared" si="59"/>
        <v>0</v>
      </c>
      <c r="S131" s="139">
        <f t="shared" si="60"/>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149">
        <f t="shared" ref="F132" si="61">SUM(F122:F131)</f>
        <v>0</v>
      </c>
      <c r="G132" s="149">
        <f t="shared" ref="G132:Q132" si="62">SUM(G122:G131)</f>
        <v>0</v>
      </c>
      <c r="H132" s="149">
        <f t="shared" si="62"/>
        <v>0</v>
      </c>
      <c r="I132" s="149">
        <f t="shared" si="62"/>
        <v>0</v>
      </c>
      <c r="J132" s="149">
        <f t="shared" si="62"/>
        <v>0</v>
      </c>
      <c r="K132" s="149">
        <f t="shared" si="62"/>
        <v>0</v>
      </c>
      <c r="L132" s="149">
        <f t="shared" si="62"/>
        <v>0</v>
      </c>
      <c r="M132" s="149">
        <f t="shared" si="62"/>
        <v>0</v>
      </c>
      <c r="N132" s="149">
        <f t="shared" si="62"/>
        <v>50812.13</v>
      </c>
      <c r="O132" s="149">
        <f t="shared" si="62"/>
        <v>8823.7099999999991</v>
      </c>
      <c r="P132" s="149">
        <f t="shared" si="62"/>
        <v>0</v>
      </c>
      <c r="Q132" s="149">
        <f t="shared" si="62"/>
        <v>0</v>
      </c>
      <c r="R132" s="149">
        <f>SUM(R122:R131)</f>
        <v>59635.840000000004</v>
      </c>
      <c r="S132" s="149">
        <f t="shared" ref="S132:AD132" si="63">SUM(S122:S131)</f>
        <v>0</v>
      </c>
      <c r="T132" s="149">
        <f t="shared" si="63"/>
        <v>0</v>
      </c>
      <c r="U132" s="149">
        <f t="shared" si="63"/>
        <v>0</v>
      </c>
      <c r="V132" s="149">
        <f t="shared" si="63"/>
        <v>0</v>
      </c>
      <c r="W132" s="149">
        <f t="shared" si="63"/>
        <v>0</v>
      </c>
      <c r="X132" s="149">
        <f t="shared" si="63"/>
        <v>0</v>
      </c>
      <c r="Y132" s="149">
        <f t="shared" si="63"/>
        <v>0</v>
      </c>
      <c r="Z132" s="149">
        <f t="shared" si="63"/>
        <v>0</v>
      </c>
      <c r="AA132" s="149">
        <f t="shared" si="63"/>
        <v>50812.13</v>
      </c>
      <c r="AB132" s="149">
        <f t="shared" si="63"/>
        <v>59635.840000000004</v>
      </c>
      <c r="AC132" s="149">
        <f t="shared" si="63"/>
        <v>59635.840000000004</v>
      </c>
      <c r="AD132" s="149">
        <f t="shared" si="63"/>
        <v>59635.840000000004</v>
      </c>
    </row>
    <row r="133" spans="1:30" x14ac:dyDescent="0.25">
      <c r="A133" s="106">
        <v>128</v>
      </c>
      <c r="B133" s="33" t="s">
        <v>88</v>
      </c>
      <c r="C133" s="33"/>
      <c r="D133" s="44" t="str">
        <f>0*100%&amp;"% Cost of Living"</f>
        <v>0% Cost of Living</v>
      </c>
      <c r="E133" s="96"/>
      <c r="F133" s="149">
        <f t="shared" ref="F133:Q133" si="64">+F91+F96+F101+F110+F119+F132</f>
        <v>0</v>
      </c>
      <c r="G133" s="149">
        <f t="shared" si="64"/>
        <v>0</v>
      </c>
      <c r="H133" s="149">
        <f t="shared" si="64"/>
        <v>0</v>
      </c>
      <c r="I133" s="149">
        <f t="shared" si="64"/>
        <v>0</v>
      </c>
      <c r="J133" s="149">
        <f t="shared" si="64"/>
        <v>0</v>
      </c>
      <c r="K133" s="149">
        <f t="shared" si="64"/>
        <v>0</v>
      </c>
      <c r="L133" s="149">
        <f t="shared" si="64"/>
        <v>0</v>
      </c>
      <c r="M133" s="149">
        <f t="shared" si="64"/>
        <v>0</v>
      </c>
      <c r="N133" s="149">
        <f t="shared" si="64"/>
        <v>240132.43000000002</v>
      </c>
      <c r="O133" s="149">
        <f t="shared" si="64"/>
        <v>28188.849999999995</v>
      </c>
      <c r="P133" s="149">
        <f t="shared" si="64"/>
        <v>0</v>
      </c>
      <c r="Q133" s="149">
        <f t="shared" si="64"/>
        <v>0</v>
      </c>
      <c r="R133" s="149">
        <f>+R91+R96+R101+R110+R119+R132</f>
        <v>268321.28000000003</v>
      </c>
      <c r="S133" s="149">
        <f t="shared" ref="S133:AD133" si="65">+S91+S96+S101+S110+S119+S132</f>
        <v>0</v>
      </c>
      <c r="T133" s="149">
        <f t="shared" si="65"/>
        <v>0</v>
      </c>
      <c r="U133" s="149">
        <f t="shared" si="65"/>
        <v>0</v>
      </c>
      <c r="V133" s="149">
        <f t="shared" si="65"/>
        <v>0</v>
      </c>
      <c r="W133" s="149">
        <f t="shared" si="65"/>
        <v>0</v>
      </c>
      <c r="X133" s="149">
        <f t="shared" si="65"/>
        <v>0</v>
      </c>
      <c r="Y133" s="149">
        <f t="shared" si="65"/>
        <v>0</v>
      </c>
      <c r="Z133" s="149">
        <f t="shared" si="65"/>
        <v>0</v>
      </c>
      <c r="AA133" s="149">
        <f t="shared" si="65"/>
        <v>240132.43000000002</v>
      </c>
      <c r="AB133" s="149">
        <f t="shared" si="65"/>
        <v>268321.28000000003</v>
      </c>
      <c r="AC133" s="149">
        <f t="shared" si="65"/>
        <v>268321.28000000003</v>
      </c>
      <c r="AD133" s="149">
        <f t="shared" si="65"/>
        <v>268321.28000000003</v>
      </c>
    </row>
    <row r="134" spans="1:30" ht="8.25" customHeight="1" x14ac:dyDescent="0.25">
      <c r="A134" s="106">
        <v>129</v>
      </c>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row>
    <row r="135" spans="1:30" ht="18.75" x14ac:dyDescent="0.25">
      <c r="A135" s="106">
        <v>130</v>
      </c>
      <c r="B135" s="11" t="s">
        <v>89</v>
      </c>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row>
    <row r="136" spans="1:30" x14ac:dyDescent="0.25">
      <c r="A136" s="106">
        <v>131</v>
      </c>
      <c r="B136" s="5" t="s">
        <v>90</v>
      </c>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row>
    <row r="137" spans="1:30" x14ac:dyDescent="0.25">
      <c r="A137" s="106">
        <v>132</v>
      </c>
      <c r="C137" s="1" t="s">
        <v>92</v>
      </c>
      <c r="E137" s="101"/>
      <c r="F137" s="138"/>
      <c r="G137" s="138"/>
      <c r="H137" s="138"/>
      <c r="I137" s="138"/>
      <c r="J137" s="138"/>
      <c r="K137" s="138"/>
      <c r="L137" s="138"/>
      <c r="M137" s="138"/>
      <c r="N137" s="138">
        <v>11939.47</v>
      </c>
      <c r="O137" s="138">
        <v>1513.35</v>
      </c>
      <c r="P137" s="138"/>
      <c r="Q137" s="138"/>
      <c r="R137" s="139">
        <f t="shared" ref="R137:R143" si="66">SUM(F137:Q137)</f>
        <v>13452.82</v>
      </c>
      <c r="S137" s="139">
        <f t="shared" ref="S137:S143" si="67">SUM(F137)</f>
        <v>0</v>
      </c>
      <c r="T137" s="139">
        <f>SUM($F137:G137)</f>
        <v>0</v>
      </c>
      <c r="U137" s="139">
        <f>SUM($F137:H137)</f>
        <v>0</v>
      </c>
      <c r="V137" s="139">
        <f>SUM($F137:I137)</f>
        <v>0</v>
      </c>
      <c r="W137" s="139">
        <f>SUM($F137:J137)</f>
        <v>0</v>
      </c>
      <c r="X137" s="139">
        <f>SUM($F137:K137)</f>
        <v>0</v>
      </c>
      <c r="Y137" s="139">
        <f>SUM($F137:L137)</f>
        <v>0</v>
      </c>
      <c r="Z137" s="139">
        <f>SUM($F137:M137)</f>
        <v>0</v>
      </c>
      <c r="AA137" s="139">
        <f>SUM($F137:N137)</f>
        <v>11939.47</v>
      </c>
      <c r="AB137" s="139">
        <f>SUM($F137:O137)</f>
        <v>13452.82</v>
      </c>
      <c r="AC137" s="139">
        <f>SUM($F137:P137)</f>
        <v>13452.82</v>
      </c>
      <c r="AD137" s="139">
        <f>SUM($F137:Q137)</f>
        <v>13452.82</v>
      </c>
    </row>
    <row r="138" spans="1:30" x14ac:dyDescent="0.25">
      <c r="A138" s="106">
        <v>133</v>
      </c>
      <c r="C138" s="1" t="s">
        <v>93</v>
      </c>
      <c r="E138" s="101"/>
      <c r="F138" s="138"/>
      <c r="G138" s="138"/>
      <c r="H138" s="138"/>
      <c r="I138" s="138"/>
      <c r="J138" s="138"/>
      <c r="K138" s="138"/>
      <c r="L138" s="138"/>
      <c r="M138" s="138"/>
      <c r="N138" s="138">
        <v>6913.28</v>
      </c>
      <c r="O138" s="138">
        <v>866</v>
      </c>
      <c r="P138" s="138"/>
      <c r="Q138" s="138"/>
      <c r="R138" s="139">
        <f t="shared" si="66"/>
        <v>7779.28</v>
      </c>
      <c r="S138" s="139">
        <f t="shared" si="67"/>
        <v>0</v>
      </c>
      <c r="T138" s="139">
        <f>SUM($F138:G138)</f>
        <v>0</v>
      </c>
      <c r="U138" s="139">
        <f>SUM($F138:H138)</f>
        <v>0</v>
      </c>
      <c r="V138" s="139">
        <f>SUM($F138:I138)</f>
        <v>0</v>
      </c>
      <c r="W138" s="139">
        <f>SUM($F138:J138)</f>
        <v>0</v>
      </c>
      <c r="X138" s="139">
        <f>SUM($F138:K138)</f>
        <v>0</v>
      </c>
      <c r="Y138" s="139">
        <f>SUM($F138:L138)</f>
        <v>0</v>
      </c>
      <c r="Z138" s="139">
        <f>SUM($F138:M138)</f>
        <v>0</v>
      </c>
      <c r="AA138" s="139">
        <f>SUM($F138:N138)</f>
        <v>6913.28</v>
      </c>
      <c r="AB138" s="139">
        <f>SUM($F138:O138)</f>
        <v>7779.28</v>
      </c>
      <c r="AC138" s="139">
        <f>SUM($F138:P138)</f>
        <v>7779.28</v>
      </c>
      <c r="AD138" s="139">
        <f>SUM($F138:Q138)</f>
        <v>7779.28</v>
      </c>
    </row>
    <row r="139" spans="1:30" x14ac:dyDescent="0.25">
      <c r="A139" s="106">
        <v>134</v>
      </c>
      <c r="C139" s="1" t="s">
        <v>94</v>
      </c>
      <c r="E139" s="101"/>
      <c r="F139" s="138"/>
      <c r="G139" s="138"/>
      <c r="H139" s="138"/>
      <c r="I139" s="138"/>
      <c r="J139" s="138"/>
      <c r="K139" s="138"/>
      <c r="L139" s="138"/>
      <c r="M139" s="138"/>
      <c r="N139" s="138">
        <v>2979.14</v>
      </c>
      <c r="O139" s="138">
        <v>413.4</v>
      </c>
      <c r="P139" s="138"/>
      <c r="Q139" s="138"/>
      <c r="R139" s="139">
        <f t="shared" si="66"/>
        <v>3392.54</v>
      </c>
      <c r="S139" s="139">
        <f t="shared" si="67"/>
        <v>0</v>
      </c>
      <c r="T139" s="139">
        <f>SUM($F139:G139)</f>
        <v>0</v>
      </c>
      <c r="U139" s="139">
        <f>SUM($F139:H139)</f>
        <v>0</v>
      </c>
      <c r="V139" s="139">
        <f>SUM($F139:I139)</f>
        <v>0</v>
      </c>
      <c r="W139" s="139">
        <f>SUM($F139:J139)</f>
        <v>0</v>
      </c>
      <c r="X139" s="139">
        <f>SUM($F139:K139)</f>
        <v>0</v>
      </c>
      <c r="Y139" s="139">
        <f>SUM($F139:L139)</f>
        <v>0</v>
      </c>
      <c r="Z139" s="139">
        <f>SUM($F139:M139)</f>
        <v>0</v>
      </c>
      <c r="AA139" s="139">
        <f>SUM($F139:N139)</f>
        <v>2979.14</v>
      </c>
      <c r="AB139" s="139">
        <f>SUM($F139:O139)</f>
        <v>3392.54</v>
      </c>
      <c r="AC139" s="139">
        <f>SUM($F139:P139)</f>
        <v>3392.54</v>
      </c>
      <c r="AD139" s="139">
        <f>SUM($F139:Q139)</f>
        <v>3392.54</v>
      </c>
    </row>
    <row r="140" spans="1:30" x14ac:dyDescent="0.25">
      <c r="A140" s="106">
        <v>135</v>
      </c>
      <c r="C140" s="1" t="s">
        <v>95</v>
      </c>
      <c r="E140" s="101"/>
      <c r="F140" s="138"/>
      <c r="G140" s="138"/>
      <c r="H140" s="138"/>
      <c r="I140" s="138"/>
      <c r="J140" s="138"/>
      <c r="K140" s="138"/>
      <c r="L140" s="138"/>
      <c r="M140" s="138"/>
      <c r="N140" s="138">
        <v>560.66</v>
      </c>
      <c r="O140" s="138">
        <v>255.18</v>
      </c>
      <c r="P140" s="138"/>
      <c r="Q140" s="138"/>
      <c r="R140" s="139">
        <f t="shared" si="66"/>
        <v>815.83999999999992</v>
      </c>
      <c r="S140" s="139">
        <f t="shared" si="67"/>
        <v>0</v>
      </c>
      <c r="T140" s="139">
        <f>SUM($F140:G140)</f>
        <v>0</v>
      </c>
      <c r="U140" s="139">
        <f>SUM($F140:H140)</f>
        <v>0</v>
      </c>
      <c r="V140" s="139">
        <f>SUM($F140:I140)</f>
        <v>0</v>
      </c>
      <c r="W140" s="139">
        <f>SUM($F140:J140)</f>
        <v>0</v>
      </c>
      <c r="X140" s="139">
        <f>SUM($F140:K140)</f>
        <v>0</v>
      </c>
      <c r="Y140" s="139">
        <f>SUM($F140:L140)</f>
        <v>0</v>
      </c>
      <c r="Z140" s="139">
        <f>SUM($F140:M140)</f>
        <v>0</v>
      </c>
      <c r="AA140" s="139">
        <f>SUM($F140:N140)</f>
        <v>560.66</v>
      </c>
      <c r="AB140" s="139">
        <f>SUM($F140:O140)</f>
        <v>815.83999999999992</v>
      </c>
      <c r="AC140" s="139">
        <f>SUM($F140:P140)</f>
        <v>815.83999999999992</v>
      </c>
      <c r="AD140" s="139">
        <f>SUM($F140:Q140)</f>
        <v>815.83999999999992</v>
      </c>
    </row>
    <row r="141" spans="1:30" x14ac:dyDescent="0.25">
      <c r="A141" s="106">
        <v>136</v>
      </c>
      <c r="C141" s="1" t="s">
        <v>96</v>
      </c>
      <c r="E141" s="101"/>
      <c r="F141" s="138"/>
      <c r="G141" s="138"/>
      <c r="H141" s="138"/>
      <c r="I141" s="138"/>
      <c r="J141" s="138"/>
      <c r="K141" s="138"/>
      <c r="L141" s="138"/>
      <c r="M141" s="138"/>
      <c r="N141" s="138">
        <v>2414.8000000000002</v>
      </c>
      <c r="O141" s="138">
        <v>276.5</v>
      </c>
      <c r="P141" s="138"/>
      <c r="Q141" s="138"/>
      <c r="R141" s="139">
        <f t="shared" si="66"/>
        <v>2691.3</v>
      </c>
      <c r="S141" s="139">
        <f t="shared" si="67"/>
        <v>0</v>
      </c>
      <c r="T141" s="139">
        <f>SUM($F141:G141)</f>
        <v>0</v>
      </c>
      <c r="U141" s="139">
        <f>SUM($F141:H141)</f>
        <v>0</v>
      </c>
      <c r="V141" s="139">
        <f>SUM($F141:I141)</f>
        <v>0</v>
      </c>
      <c r="W141" s="139">
        <f>SUM($F141:J141)</f>
        <v>0</v>
      </c>
      <c r="X141" s="139">
        <f>SUM($F141:K141)</f>
        <v>0</v>
      </c>
      <c r="Y141" s="139">
        <f>SUM($F141:L141)</f>
        <v>0</v>
      </c>
      <c r="Z141" s="139">
        <f>SUM($F141:M141)</f>
        <v>0</v>
      </c>
      <c r="AA141" s="139">
        <f>SUM($F141:N141)</f>
        <v>2414.8000000000002</v>
      </c>
      <c r="AB141" s="139">
        <f>SUM($F141:O141)</f>
        <v>2691.3</v>
      </c>
      <c r="AC141" s="139">
        <f>SUM($F141:P141)</f>
        <v>2691.3</v>
      </c>
      <c r="AD141" s="139">
        <f>SUM($F141:Q141)</f>
        <v>2691.3</v>
      </c>
    </row>
    <row r="142" spans="1:30" x14ac:dyDescent="0.25">
      <c r="A142" s="106">
        <v>137</v>
      </c>
      <c r="C142" s="1" t="s">
        <v>97</v>
      </c>
      <c r="E142" s="101"/>
      <c r="F142" s="138"/>
      <c r="G142" s="138"/>
      <c r="H142" s="138"/>
      <c r="I142" s="138"/>
      <c r="J142" s="138"/>
      <c r="K142" s="138"/>
      <c r="L142" s="138"/>
      <c r="M142" s="138"/>
      <c r="N142" s="138">
        <v>2198.5300000000002</v>
      </c>
      <c r="O142" s="138">
        <v>289.57</v>
      </c>
      <c r="P142" s="138"/>
      <c r="Q142" s="138"/>
      <c r="R142" s="139">
        <f t="shared" si="66"/>
        <v>2488.1000000000004</v>
      </c>
      <c r="S142" s="139">
        <f t="shared" si="67"/>
        <v>0</v>
      </c>
      <c r="T142" s="139">
        <f>SUM($F142:G142)</f>
        <v>0</v>
      </c>
      <c r="U142" s="139">
        <f>SUM($F142:H142)</f>
        <v>0</v>
      </c>
      <c r="V142" s="139">
        <f>SUM($F142:I142)</f>
        <v>0</v>
      </c>
      <c r="W142" s="139">
        <f>SUM($F142:J142)</f>
        <v>0</v>
      </c>
      <c r="X142" s="139">
        <f>SUM($F142:K142)</f>
        <v>0</v>
      </c>
      <c r="Y142" s="139">
        <f>SUM($F142:L142)</f>
        <v>0</v>
      </c>
      <c r="Z142" s="139">
        <f>SUM($F142:M142)</f>
        <v>0</v>
      </c>
      <c r="AA142" s="139">
        <f>SUM($F142:N142)</f>
        <v>2198.5300000000002</v>
      </c>
      <c r="AB142" s="139">
        <f>SUM($F142:O142)</f>
        <v>2488.1000000000004</v>
      </c>
      <c r="AC142" s="139">
        <f>SUM($F142:P142)</f>
        <v>2488.1000000000004</v>
      </c>
      <c r="AD142" s="139">
        <f>SUM($F142:Q142)</f>
        <v>2488.1000000000004</v>
      </c>
    </row>
    <row r="143" spans="1:30" x14ac:dyDescent="0.25">
      <c r="A143" s="106">
        <v>138</v>
      </c>
      <c r="C143" s="1" t="s">
        <v>98</v>
      </c>
      <c r="E143" s="101"/>
      <c r="F143" s="138"/>
      <c r="G143" s="138"/>
      <c r="H143" s="138"/>
      <c r="I143" s="138"/>
      <c r="J143" s="138"/>
      <c r="K143" s="138"/>
      <c r="L143" s="138"/>
      <c r="M143" s="138"/>
      <c r="N143" s="138">
        <v>3360.83</v>
      </c>
      <c r="O143" s="138">
        <v>0</v>
      </c>
      <c r="P143" s="138"/>
      <c r="Q143" s="138"/>
      <c r="R143" s="139">
        <f t="shared" si="66"/>
        <v>3360.83</v>
      </c>
      <c r="S143" s="139">
        <f t="shared" si="67"/>
        <v>0</v>
      </c>
      <c r="T143" s="139">
        <f>SUM($F143:G143)</f>
        <v>0</v>
      </c>
      <c r="U143" s="139">
        <f>SUM($F143:H143)</f>
        <v>0</v>
      </c>
      <c r="V143" s="139">
        <f>SUM($F143:I143)</f>
        <v>0</v>
      </c>
      <c r="W143" s="139">
        <f>SUM($F143:J143)</f>
        <v>0</v>
      </c>
      <c r="X143" s="139">
        <f>SUM($F143:K143)</f>
        <v>0</v>
      </c>
      <c r="Y143" s="139">
        <f>SUM($F143:L143)</f>
        <v>0</v>
      </c>
      <c r="Z143" s="139">
        <f>SUM($F143:M143)</f>
        <v>0</v>
      </c>
      <c r="AA143" s="139">
        <f>SUM($F143:N143)</f>
        <v>3360.83</v>
      </c>
      <c r="AB143" s="139">
        <f>SUM($F143:O143)</f>
        <v>3360.83</v>
      </c>
      <c r="AC143" s="139">
        <f>SUM($F143:P143)</f>
        <v>3360.83</v>
      </c>
      <c r="AD143" s="139">
        <f>SUM($F143:Q143)</f>
        <v>3360.83</v>
      </c>
    </row>
    <row r="144" spans="1:30" s="5" customFormat="1" x14ac:dyDescent="0.25">
      <c r="A144" s="106">
        <v>139</v>
      </c>
      <c r="B144" s="36" t="s">
        <v>99</v>
      </c>
      <c r="C144" s="36"/>
      <c r="D144" s="36"/>
      <c r="E144" s="97"/>
      <c r="F144" s="150">
        <f t="shared" ref="F144" si="68">SUM(F137:F143)</f>
        <v>0</v>
      </c>
      <c r="G144" s="150">
        <f t="shared" ref="G144:Q144" si="69">SUM(G137:G143)</f>
        <v>0</v>
      </c>
      <c r="H144" s="150">
        <f t="shared" si="69"/>
        <v>0</v>
      </c>
      <c r="I144" s="150">
        <f t="shared" si="69"/>
        <v>0</v>
      </c>
      <c r="J144" s="150">
        <f t="shared" si="69"/>
        <v>0</v>
      </c>
      <c r="K144" s="150">
        <f t="shared" si="69"/>
        <v>0</v>
      </c>
      <c r="L144" s="150">
        <f t="shared" si="69"/>
        <v>0</v>
      </c>
      <c r="M144" s="150">
        <f t="shared" si="69"/>
        <v>0</v>
      </c>
      <c r="N144" s="150">
        <f t="shared" si="69"/>
        <v>30366.71</v>
      </c>
      <c r="O144" s="150">
        <f t="shared" si="69"/>
        <v>3614</v>
      </c>
      <c r="P144" s="150">
        <f t="shared" si="69"/>
        <v>0</v>
      </c>
      <c r="Q144" s="150">
        <f t="shared" si="69"/>
        <v>0</v>
      </c>
      <c r="R144" s="150">
        <f>SUM(R137:R143)</f>
        <v>33980.71</v>
      </c>
      <c r="S144" s="150">
        <f t="shared" ref="S144:AD144" si="70">SUM(S137:S143)</f>
        <v>0</v>
      </c>
      <c r="T144" s="150">
        <f t="shared" si="70"/>
        <v>0</v>
      </c>
      <c r="U144" s="150">
        <f t="shared" si="70"/>
        <v>0</v>
      </c>
      <c r="V144" s="150">
        <f t="shared" si="70"/>
        <v>0</v>
      </c>
      <c r="W144" s="150">
        <f t="shared" si="70"/>
        <v>0</v>
      </c>
      <c r="X144" s="150">
        <f t="shared" si="70"/>
        <v>0</v>
      </c>
      <c r="Y144" s="150">
        <f t="shared" si="70"/>
        <v>0</v>
      </c>
      <c r="Z144" s="150">
        <f t="shared" si="70"/>
        <v>0</v>
      </c>
      <c r="AA144" s="150">
        <f t="shared" si="70"/>
        <v>30366.71</v>
      </c>
      <c r="AB144" s="150">
        <f t="shared" si="70"/>
        <v>33980.71</v>
      </c>
      <c r="AC144" s="150">
        <f t="shared" si="70"/>
        <v>33980.71</v>
      </c>
      <c r="AD144" s="150">
        <f t="shared" si="70"/>
        <v>33980.71</v>
      </c>
    </row>
    <row r="145" spans="1:30" s="5" customFormat="1" ht="6.75" customHeight="1" x14ac:dyDescent="0.25">
      <c r="A145" s="106">
        <v>140</v>
      </c>
      <c r="B145" s="22"/>
      <c r="C145" s="22"/>
      <c r="D145" s="22"/>
      <c r="E145" s="92"/>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row>
    <row r="146" spans="1:30" x14ac:dyDescent="0.25">
      <c r="A146" s="106">
        <v>141</v>
      </c>
      <c r="B146" s="5" t="s">
        <v>100</v>
      </c>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row>
    <row r="147" spans="1:30" x14ac:dyDescent="0.25">
      <c r="A147" s="106">
        <v>142</v>
      </c>
      <c r="C147" s="1" t="s">
        <v>101</v>
      </c>
      <c r="E147" s="101"/>
      <c r="F147" s="138"/>
      <c r="G147" s="138"/>
      <c r="H147" s="138"/>
      <c r="I147" s="138"/>
      <c r="J147" s="138"/>
      <c r="K147" s="138"/>
      <c r="L147" s="138"/>
      <c r="M147" s="138"/>
      <c r="N147" s="138">
        <v>9862.9699999999993</v>
      </c>
      <c r="O147" s="138">
        <v>3103.5</v>
      </c>
      <c r="P147" s="138"/>
      <c r="Q147" s="138"/>
      <c r="R147" s="139">
        <f t="shared" ref="R147:R154" si="71">SUM(F147:Q147)</f>
        <v>12966.47</v>
      </c>
      <c r="S147" s="139">
        <f t="shared" ref="S147:S154" si="72">SUM(F147)</f>
        <v>0</v>
      </c>
      <c r="T147" s="139">
        <f>SUM($F147:G147)</f>
        <v>0</v>
      </c>
      <c r="U147" s="139">
        <f>SUM($F147:H147)</f>
        <v>0</v>
      </c>
      <c r="V147" s="139">
        <f>SUM($F147:I147)</f>
        <v>0</v>
      </c>
      <c r="W147" s="139">
        <f>SUM($F147:J147)</f>
        <v>0</v>
      </c>
      <c r="X147" s="139">
        <f>SUM($F147:K147)</f>
        <v>0</v>
      </c>
      <c r="Y147" s="139">
        <f>SUM($F147:L147)</f>
        <v>0</v>
      </c>
      <c r="Z147" s="139">
        <f>SUM($F147:M147)</f>
        <v>0</v>
      </c>
      <c r="AA147" s="139">
        <f>SUM($F147:N147)</f>
        <v>9862.9699999999993</v>
      </c>
      <c r="AB147" s="139">
        <f>SUM($F147:O147)</f>
        <v>12966.47</v>
      </c>
      <c r="AC147" s="139">
        <f>SUM($F147:P147)</f>
        <v>12966.47</v>
      </c>
      <c r="AD147" s="139">
        <f>SUM($F147:Q147)</f>
        <v>12966.47</v>
      </c>
    </row>
    <row r="148" spans="1:30" x14ac:dyDescent="0.25">
      <c r="A148" s="106">
        <v>143</v>
      </c>
      <c r="C148" s="1" t="s">
        <v>102</v>
      </c>
      <c r="E148" s="101"/>
      <c r="F148" s="138"/>
      <c r="G148" s="138"/>
      <c r="H148" s="138"/>
      <c r="I148" s="138"/>
      <c r="J148" s="138"/>
      <c r="K148" s="138"/>
      <c r="L148" s="138"/>
      <c r="M148" s="138"/>
      <c r="N148" s="138">
        <v>5317.15</v>
      </c>
      <c r="O148" s="138">
        <v>0</v>
      </c>
      <c r="P148" s="138"/>
      <c r="Q148" s="138"/>
      <c r="R148" s="139">
        <f t="shared" si="71"/>
        <v>5317.15</v>
      </c>
      <c r="S148" s="139">
        <f t="shared" si="72"/>
        <v>0</v>
      </c>
      <c r="T148" s="139">
        <f>SUM($F148:G148)</f>
        <v>0</v>
      </c>
      <c r="U148" s="139">
        <f>SUM($F148:H148)</f>
        <v>0</v>
      </c>
      <c r="V148" s="139">
        <f>SUM($F148:I148)</f>
        <v>0</v>
      </c>
      <c r="W148" s="139">
        <f>SUM($F148:J148)</f>
        <v>0</v>
      </c>
      <c r="X148" s="139">
        <f>SUM($F148:K148)</f>
        <v>0</v>
      </c>
      <c r="Y148" s="139">
        <f>SUM($F148:L148)</f>
        <v>0</v>
      </c>
      <c r="Z148" s="139">
        <f>SUM($F148:M148)</f>
        <v>0</v>
      </c>
      <c r="AA148" s="139">
        <f>SUM($F148:N148)</f>
        <v>5317.15</v>
      </c>
      <c r="AB148" s="139">
        <f>SUM($F148:O148)</f>
        <v>5317.15</v>
      </c>
      <c r="AC148" s="139">
        <f>SUM($F148:P148)</f>
        <v>5317.15</v>
      </c>
      <c r="AD148" s="139">
        <f>SUM($F148:Q148)</f>
        <v>5317.15</v>
      </c>
    </row>
    <row r="149" spans="1:30" x14ac:dyDescent="0.25">
      <c r="A149" s="106">
        <v>144</v>
      </c>
      <c r="C149" s="1" t="s">
        <v>103</v>
      </c>
      <c r="E149" s="101"/>
      <c r="F149" s="138"/>
      <c r="G149" s="138"/>
      <c r="H149" s="138"/>
      <c r="I149" s="138"/>
      <c r="J149" s="138"/>
      <c r="K149" s="138"/>
      <c r="L149" s="138"/>
      <c r="M149" s="138"/>
      <c r="N149" s="138">
        <v>1547.28</v>
      </c>
      <c r="O149" s="138">
        <v>347.1</v>
      </c>
      <c r="P149" s="138"/>
      <c r="Q149" s="138"/>
      <c r="R149" s="139">
        <f t="shared" si="71"/>
        <v>1894.38</v>
      </c>
      <c r="S149" s="139">
        <f t="shared" si="72"/>
        <v>0</v>
      </c>
      <c r="T149" s="139">
        <f>SUM($F149:G149)</f>
        <v>0</v>
      </c>
      <c r="U149" s="139">
        <f>SUM($F149:H149)</f>
        <v>0</v>
      </c>
      <c r="V149" s="139">
        <f>SUM($F149:I149)</f>
        <v>0</v>
      </c>
      <c r="W149" s="139">
        <f>SUM($F149:J149)</f>
        <v>0</v>
      </c>
      <c r="X149" s="139">
        <f>SUM($F149:K149)</f>
        <v>0</v>
      </c>
      <c r="Y149" s="139">
        <f>SUM($F149:L149)</f>
        <v>0</v>
      </c>
      <c r="Z149" s="139">
        <f>SUM($F149:M149)</f>
        <v>0</v>
      </c>
      <c r="AA149" s="139">
        <f>SUM($F149:N149)</f>
        <v>1547.28</v>
      </c>
      <c r="AB149" s="139">
        <f>SUM($F149:O149)</f>
        <v>1894.38</v>
      </c>
      <c r="AC149" s="139">
        <f>SUM($F149:P149)</f>
        <v>1894.38</v>
      </c>
      <c r="AD149" s="139">
        <f>SUM($F149:Q149)</f>
        <v>1894.38</v>
      </c>
    </row>
    <row r="150" spans="1:30" ht="28.5" customHeight="1" x14ac:dyDescent="0.25">
      <c r="A150" s="106">
        <v>145</v>
      </c>
      <c r="C150" s="223" t="s">
        <v>129</v>
      </c>
      <c r="D150" s="223"/>
      <c r="E150" s="101"/>
      <c r="F150" s="138"/>
      <c r="G150" s="138"/>
      <c r="H150" s="138"/>
      <c r="I150" s="138"/>
      <c r="J150" s="138"/>
      <c r="K150" s="138"/>
      <c r="L150" s="138"/>
      <c r="M150" s="138"/>
      <c r="N150" s="138">
        <v>2742.34</v>
      </c>
      <c r="O150" s="138">
        <v>428.61</v>
      </c>
      <c r="P150" s="138"/>
      <c r="Q150" s="138"/>
      <c r="R150" s="139">
        <f t="shared" si="71"/>
        <v>3170.9500000000003</v>
      </c>
      <c r="S150" s="139">
        <f t="shared" si="72"/>
        <v>0</v>
      </c>
      <c r="T150" s="139">
        <f>SUM($F150:G150)</f>
        <v>0</v>
      </c>
      <c r="U150" s="139">
        <f>SUM($F150:H150)</f>
        <v>0</v>
      </c>
      <c r="V150" s="139">
        <f>SUM($F150:I150)</f>
        <v>0</v>
      </c>
      <c r="W150" s="139">
        <f>SUM($F150:J150)</f>
        <v>0</v>
      </c>
      <c r="X150" s="139">
        <f>SUM($F150:K150)</f>
        <v>0</v>
      </c>
      <c r="Y150" s="139">
        <f>SUM($F150:L150)</f>
        <v>0</v>
      </c>
      <c r="Z150" s="139">
        <f>SUM($F150:M150)</f>
        <v>0</v>
      </c>
      <c r="AA150" s="139">
        <f>SUM($F150:N150)</f>
        <v>2742.34</v>
      </c>
      <c r="AB150" s="139">
        <f>SUM($F150:O150)</f>
        <v>3170.9500000000003</v>
      </c>
      <c r="AC150" s="139">
        <f>SUM($F150:P150)</f>
        <v>3170.9500000000003</v>
      </c>
      <c r="AD150" s="139">
        <f>SUM($F150:Q150)</f>
        <v>3170.9500000000003</v>
      </c>
    </row>
    <row r="151" spans="1:30" x14ac:dyDescent="0.25">
      <c r="A151" s="106">
        <v>146</v>
      </c>
      <c r="C151" s="1" t="s">
        <v>104</v>
      </c>
      <c r="E151" s="101"/>
      <c r="F151" s="138"/>
      <c r="G151" s="138"/>
      <c r="H151" s="138"/>
      <c r="I151" s="138"/>
      <c r="J151" s="138"/>
      <c r="K151" s="138"/>
      <c r="L151" s="138"/>
      <c r="M151" s="138"/>
      <c r="N151" s="138">
        <v>2998.28</v>
      </c>
      <c r="O151" s="138">
        <v>0</v>
      </c>
      <c r="P151" s="138"/>
      <c r="Q151" s="138"/>
      <c r="R151" s="139">
        <f t="shared" si="71"/>
        <v>2998.28</v>
      </c>
      <c r="S151" s="139">
        <f t="shared" si="72"/>
        <v>0</v>
      </c>
      <c r="T151" s="139">
        <f>SUM($F151:G151)</f>
        <v>0</v>
      </c>
      <c r="U151" s="139">
        <f>SUM($F151:H151)</f>
        <v>0</v>
      </c>
      <c r="V151" s="139">
        <f>SUM($F151:I151)</f>
        <v>0</v>
      </c>
      <c r="W151" s="139">
        <f>SUM($F151:J151)</f>
        <v>0</v>
      </c>
      <c r="X151" s="139">
        <f>SUM($F151:K151)</f>
        <v>0</v>
      </c>
      <c r="Y151" s="139">
        <f>SUM($F151:L151)</f>
        <v>0</v>
      </c>
      <c r="Z151" s="139">
        <f>SUM($F151:M151)</f>
        <v>0</v>
      </c>
      <c r="AA151" s="139">
        <f>SUM($F151:N151)</f>
        <v>2998.28</v>
      </c>
      <c r="AB151" s="139">
        <f>SUM($F151:O151)</f>
        <v>2998.28</v>
      </c>
      <c r="AC151" s="139">
        <f>SUM($F151:P151)</f>
        <v>2998.28</v>
      </c>
      <c r="AD151" s="139">
        <f>SUM($F151:Q151)</f>
        <v>2998.28</v>
      </c>
    </row>
    <row r="152" spans="1:30" x14ac:dyDescent="0.25">
      <c r="A152" s="106">
        <v>147</v>
      </c>
      <c r="C152" s="1" t="s">
        <v>105</v>
      </c>
      <c r="E152" s="101"/>
      <c r="F152" s="138"/>
      <c r="G152" s="138"/>
      <c r="H152" s="138"/>
      <c r="I152" s="138"/>
      <c r="J152" s="138"/>
      <c r="K152" s="138"/>
      <c r="L152" s="138"/>
      <c r="M152" s="138"/>
      <c r="N152" s="138">
        <v>0</v>
      </c>
      <c r="O152" s="138">
        <v>0</v>
      </c>
      <c r="P152" s="138"/>
      <c r="Q152" s="138"/>
      <c r="R152" s="139">
        <f t="shared" si="71"/>
        <v>0</v>
      </c>
      <c r="S152" s="139">
        <f t="shared" si="72"/>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138"/>
      <c r="G153" s="138"/>
      <c r="H153" s="138"/>
      <c r="I153" s="138"/>
      <c r="J153" s="138"/>
      <c r="K153" s="138"/>
      <c r="L153" s="138"/>
      <c r="M153" s="138"/>
      <c r="N153" s="138">
        <v>41157</v>
      </c>
      <c r="O153" s="138">
        <v>4573</v>
      </c>
      <c r="P153" s="138"/>
      <c r="Q153" s="138"/>
      <c r="R153" s="139">
        <f t="shared" si="71"/>
        <v>45730</v>
      </c>
      <c r="S153" s="139">
        <f t="shared" si="72"/>
        <v>0</v>
      </c>
      <c r="T153" s="139">
        <f>SUM($F153:G153)</f>
        <v>0</v>
      </c>
      <c r="U153" s="139">
        <f>SUM($F153:H153)</f>
        <v>0</v>
      </c>
      <c r="V153" s="139">
        <f>SUM($F153:I153)</f>
        <v>0</v>
      </c>
      <c r="W153" s="139">
        <f>SUM($F153:J153)</f>
        <v>0</v>
      </c>
      <c r="X153" s="139">
        <f>SUM($F153:K153)</f>
        <v>0</v>
      </c>
      <c r="Y153" s="139">
        <f>SUM($F153:L153)</f>
        <v>0</v>
      </c>
      <c r="Z153" s="139">
        <f>SUM($F153:M153)</f>
        <v>0</v>
      </c>
      <c r="AA153" s="139">
        <f>SUM($F153:N153)</f>
        <v>41157</v>
      </c>
      <c r="AB153" s="139">
        <f>SUM($F153:O153)</f>
        <v>45730</v>
      </c>
      <c r="AC153" s="139">
        <f>SUM($F153:P153)</f>
        <v>45730</v>
      </c>
      <c r="AD153" s="139">
        <f>SUM($F153:Q153)</f>
        <v>45730</v>
      </c>
    </row>
    <row r="154" spans="1:30" x14ac:dyDescent="0.25">
      <c r="A154" s="106">
        <v>149</v>
      </c>
      <c r="C154" s="1" t="s">
        <v>106</v>
      </c>
      <c r="E154" s="101"/>
      <c r="F154" s="138"/>
      <c r="G154" s="138"/>
      <c r="H154" s="138"/>
      <c r="I154" s="138"/>
      <c r="J154" s="138"/>
      <c r="K154" s="138"/>
      <c r="L154" s="138"/>
      <c r="M154" s="138"/>
      <c r="N154" s="138">
        <v>292.27</v>
      </c>
      <c r="O154" s="138">
        <v>0</v>
      </c>
      <c r="P154" s="138"/>
      <c r="Q154" s="138"/>
      <c r="R154" s="139">
        <f t="shared" si="71"/>
        <v>292.27</v>
      </c>
      <c r="S154" s="139">
        <f t="shared" si="72"/>
        <v>0</v>
      </c>
      <c r="T154" s="139">
        <f>SUM($F154:G154)</f>
        <v>0</v>
      </c>
      <c r="U154" s="139">
        <f>SUM($F154:H154)</f>
        <v>0</v>
      </c>
      <c r="V154" s="139">
        <f>SUM($F154:I154)</f>
        <v>0</v>
      </c>
      <c r="W154" s="139">
        <f>SUM($F154:J154)</f>
        <v>0</v>
      </c>
      <c r="X154" s="139">
        <f>SUM($F154:K154)</f>
        <v>0</v>
      </c>
      <c r="Y154" s="139">
        <f>SUM($F154:L154)</f>
        <v>0</v>
      </c>
      <c r="Z154" s="139">
        <f>SUM($F154:M154)</f>
        <v>0</v>
      </c>
      <c r="AA154" s="139">
        <f>SUM($F154:N154)</f>
        <v>292.27</v>
      </c>
      <c r="AB154" s="139">
        <f>SUM($F154:O154)</f>
        <v>292.27</v>
      </c>
      <c r="AC154" s="139">
        <f>SUM($F154:P154)</f>
        <v>292.27</v>
      </c>
      <c r="AD154" s="139">
        <f>SUM($F154:Q154)</f>
        <v>292.27</v>
      </c>
    </row>
    <row r="155" spans="1:30" s="5" customFormat="1" x14ac:dyDescent="0.25">
      <c r="A155" s="106">
        <v>150</v>
      </c>
      <c r="B155" s="36" t="s">
        <v>108</v>
      </c>
      <c r="C155" s="36"/>
      <c r="D155" s="36"/>
      <c r="E155" s="97"/>
      <c r="F155" s="150">
        <f t="shared" ref="F155" si="73">SUM(F147:F154)</f>
        <v>0</v>
      </c>
      <c r="G155" s="150">
        <f t="shared" ref="G155:Q155" si="74">SUM(G147:G154)</f>
        <v>0</v>
      </c>
      <c r="H155" s="150">
        <f t="shared" si="74"/>
        <v>0</v>
      </c>
      <c r="I155" s="150">
        <f t="shared" si="74"/>
        <v>0</v>
      </c>
      <c r="J155" s="150">
        <f t="shared" si="74"/>
        <v>0</v>
      </c>
      <c r="K155" s="150">
        <f t="shared" si="74"/>
        <v>0</v>
      </c>
      <c r="L155" s="150">
        <f t="shared" si="74"/>
        <v>0</v>
      </c>
      <c r="M155" s="150">
        <f t="shared" si="74"/>
        <v>0</v>
      </c>
      <c r="N155" s="150">
        <f t="shared" si="74"/>
        <v>63917.289999999994</v>
      </c>
      <c r="O155" s="150">
        <f t="shared" si="74"/>
        <v>8452.2099999999991</v>
      </c>
      <c r="P155" s="150">
        <f t="shared" si="74"/>
        <v>0</v>
      </c>
      <c r="Q155" s="150">
        <f t="shared" si="74"/>
        <v>0</v>
      </c>
      <c r="R155" s="150">
        <f>SUM(R147:R154)</f>
        <v>72369.5</v>
      </c>
      <c r="S155" s="150">
        <f t="shared" ref="S155:AD155" si="75">SUM(S147:S154)</f>
        <v>0</v>
      </c>
      <c r="T155" s="150">
        <f t="shared" si="75"/>
        <v>0</v>
      </c>
      <c r="U155" s="150">
        <f t="shared" si="75"/>
        <v>0</v>
      </c>
      <c r="V155" s="150">
        <f t="shared" si="75"/>
        <v>0</v>
      </c>
      <c r="W155" s="150">
        <f t="shared" si="75"/>
        <v>0</v>
      </c>
      <c r="X155" s="150">
        <f t="shared" si="75"/>
        <v>0</v>
      </c>
      <c r="Y155" s="150">
        <f t="shared" si="75"/>
        <v>0</v>
      </c>
      <c r="Z155" s="150">
        <f t="shared" si="75"/>
        <v>0</v>
      </c>
      <c r="AA155" s="150">
        <f t="shared" si="75"/>
        <v>63917.289999999994</v>
      </c>
      <c r="AB155" s="150">
        <f t="shared" si="75"/>
        <v>72369.5</v>
      </c>
      <c r="AC155" s="150">
        <f t="shared" si="75"/>
        <v>72369.5</v>
      </c>
      <c r="AD155" s="150">
        <f t="shared" si="75"/>
        <v>72369.5</v>
      </c>
    </row>
    <row r="156" spans="1:30" x14ac:dyDescent="0.25">
      <c r="A156" s="106">
        <v>151</v>
      </c>
      <c r="B156" s="36" t="s">
        <v>109</v>
      </c>
      <c r="C156" s="36"/>
      <c r="D156" s="36"/>
      <c r="E156" s="97"/>
      <c r="F156" s="150">
        <f t="shared" ref="F156:Q156" si="76">+F144+F155</f>
        <v>0</v>
      </c>
      <c r="G156" s="150">
        <f t="shared" si="76"/>
        <v>0</v>
      </c>
      <c r="H156" s="150">
        <f t="shared" si="76"/>
        <v>0</v>
      </c>
      <c r="I156" s="150">
        <f t="shared" si="76"/>
        <v>0</v>
      </c>
      <c r="J156" s="150">
        <f t="shared" si="76"/>
        <v>0</v>
      </c>
      <c r="K156" s="150">
        <f t="shared" si="76"/>
        <v>0</v>
      </c>
      <c r="L156" s="150">
        <f t="shared" si="76"/>
        <v>0</v>
      </c>
      <c r="M156" s="150">
        <f t="shared" si="76"/>
        <v>0</v>
      </c>
      <c r="N156" s="150">
        <f t="shared" si="76"/>
        <v>94284</v>
      </c>
      <c r="O156" s="150">
        <f t="shared" si="76"/>
        <v>12066.21</v>
      </c>
      <c r="P156" s="150">
        <f t="shared" si="76"/>
        <v>0</v>
      </c>
      <c r="Q156" s="150">
        <f t="shared" si="76"/>
        <v>0</v>
      </c>
      <c r="R156" s="150">
        <f>+R144+R155</f>
        <v>106350.20999999999</v>
      </c>
      <c r="S156" s="150">
        <f t="shared" ref="S156:AD156" si="77">+S144+S155</f>
        <v>0</v>
      </c>
      <c r="T156" s="150">
        <f t="shared" si="77"/>
        <v>0</v>
      </c>
      <c r="U156" s="150">
        <f t="shared" si="77"/>
        <v>0</v>
      </c>
      <c r="V156" s="150">
        <f t="shared" si="77"/>
        <v>0</v>
      </c>
      <c r="W156" s="150">
        <f t="shared" si="77"/>
        <v>0</v>
      </c>
      <c r="X156" s="150">
        <f t="shared" si="77"/>
        <v>0</v>
      </c>
      <c r="Y156" s="150">
        <f t="shared" si="77"/>
        <v>0</v>
      </c>
      <c r="Z156" s="150">
        <f t="shared" si="77"/>
        <v>0</v>
      </c>
      <c r="AA156" s="150">
        <f t="shared" si="77"/>
        <v>94284</v>
      </c>
      <c r="AB156" s="150">
        <f t="shared" si="77"/>
        <v>106350.20999999999</v>
      </c>
      <c r="AC156" s="150">
        <f t="shared" si="77"/>
        <v>106350.20999999999</v>
      </c>
      <c r="AD156" s="150">
        <f t="shared" si="77"/>
        <v>106350.20999999999</v>
      </c>
    </row>
    <row r="157" spans="1:30" ht="4.5" customHeight="1" x14ac:dyDescent="0.25">
      <c r="A157" s="106">
        <v>152</v>
      </c>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row>
    <row r="158" spans="1:30" ht="18.75" x14ac:dyDescent="0.25">
      <c r="A158" s="106">
        <v>153</v>
      </c>
      <c r="B158" s="11" t="s">
        <v>110</v>
      </c>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row>
    <row r="159" spans="1:30" x14ac:dyDescent="0.25">
      <c r="A159" s="106">
        <v>154</v>
      </c>
      <c r="B159" s="5" t="s">
        <v>111</v>
      </c>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row>
    <row r="160" spans="1:30" x14ac:dyDescent="0.25">
      <c r="A160" s="106">
        <v>155</v>
      </c>
      <c r="C160" s="1" t="s">
        <v>112</v>
      </c>
      <c r="E160" s="101"/>
      <c r="F160" s="138"/>
      <c r="G160" s="138"/>
      <c r="H160" s="138"/>
      <c r="I160" s="138"/>
      <c r="J160" s="138"/>
      <c r="K160" s="138"/>
      <c r="L160" s="138"/>
      <c r="M160" s="138"/>
      <c r="N160" s="138">
        <v>0</v>
      </c>
      <c r="O160" s="138">
        <v>0</v>
      </c>
      <c r="P160" s="138"/>
      <c r="Q160" s="138"/>
      <c r="R160" s="139">
        <f t="shared" ref="R160:R163" si="78">SUM(F160:Q160)</f>
        <v>0</v>
      </c>
      <c r="S160" s="139">
        <f t="shared" ref="S160:S163" si="79">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138"/>
      <c r="G161" s="138"/>
      <c r="H161" s="138"/>
      <c r="I161" s="138"/>
      <c r="J161" s="138"/>
      <c r="K161" s="138"/>
      <c r="L161" s="138"/>
      <c r="M161" s="138"/>
      <c r="N161" s="138">
        <v>0</v>
      </c>
      <c r="O161" s="138">
        <v>0</v>
      </c>
      <c r="P161" s="138"/>
      <c r="Q161" s="138"/>
      <c r="R161" s="139">
        <f t="shared" si="78"/>
        <v>0</v>
      </c>
      <c r="S161" s="139">
        <f t="shared" si="79"/>
        <v>0</v>
      </c>
      <c r="T161" s="139">
        <f>SUM($F161:G161)</f>
        <v>0</v>
      </c>
      <c r="U161" s="139">
        <f>SUM($F161:H161)</f>
        <v>0</v>
      </c>
      <c r="V161" s="139">
        <f>SUM($F161:I161)</f>
        <v>0</v>
      </c>
      <c r="W161" s="139">
        <f>SUM($F161:J161)</f>
        <v>0</v>
      </c>
      <c r="X161" s="139">
        <f>SUM($F161:K161)</f>
        <v>0</v>
      </c>
      <c r="Y161" s="139">
        <f>SUM($F161:L161)</f>
        <v>0</v>
      </c>
      <c r="Z161" s="139">
        <f>SUM($F161:M161)</f>
        <v>0</v>
      </c>
      <c r="AA161" s="139">
        <f>SUM($F161:N161)</f>
        <v>0</v>
      </c>
      <c r="AB161" s="139">
        <f>SUM($F161:O161)</f>
        <v>0</v>
      </c>
      <c r="AC161" s="139">
        <f>SUM($F161:P161)</f>
        <v>0</v>
      </c>
      <c r="AD161" s="139">
        <f>SUM($F161:Q161)</f>
        <v>0</v>
      </c>
    </row>
    <row r="162" spans="1:30" x14ac:dyDescent="0.25">
      <c r="A162" s="106">
        <v>157</v>
      </c>
      <c r="C162" s="1" t="s">
        <v>114</v>
      </c>
      <c r="E162" s="101"/>
      <c r="F162" s="138"/>
      <c r="G162" s="138"/>
      <c r="H162" s="138"/>
      <c r="I162" s="138"/>
      <c r="J162" s="138"/>
      <c r="K162" s="138"/>
      <c r="L162" s="138"/>
      <c r="M162" s="138"/>
      <c r="N162" s="138">
        <v>0</v>
      </c>
      <c r="O162" s="138">
        <v>0</v>
      </c>
      <c r="P162" s="138"/>
      <c r="Q162" s="138"/>
      <c r="R162" s="139">
        <f t="shared" si="78"/>
        <v>0</v>
      </c>
      <c r="S162" s="139">
        <f t="shared" si="79"/>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138"/>
      <c r="G163" s="138"/>
      <c r="H163" s="138"/>
      <c r="I163" s="138"/>
      <c r="J163" s="138"/>
      <c r="K163" s="138"/>
      <c r="L163" s="138"/>
      <c r="M163" s="138"/>
      <c r="N163" s="138">
        <v>0</v>
      </c>
      <c r="O163" s="138">
        <v>3000</v>
      </c>
      <c r="P163" s="138"/>
      <c r="Q163" s="138"/>
      <c r="R163" s="139">
        <f t="shared" si="78"/>
        <v>3000</v>
      </c>
      <c r="S163" s="139">
        <f t="shared" si="79"/>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3000</v>
      </c>
      <c r="AC163" s="139">
        <f>SUM($F163:P163)</f>
        <v>3000</v>
      </c>
      <c r="AD163" s="139">
        <f>SUM($F163:Q163)</f>
        <v>3000</v>
      </c>
    </row>
    <row r="164" spans="1:30" s="5" customFormat="1" x14ac:dyDescent="0.25">
      <c r="A164" s="106">
        <v>159</v>
      </c>
      <c r="B164" s="38" t="s">
        <v>116</v>
      </c>
      <c r="C164" s="38"/>
      <c r="D164" s="38"/>
      <c r="E164" s="98"/>
      <c r="F164" s="151">
        <f t="shared" ref="F164" si="80">SUM(F160:F163)</f>
        <v>0</v>
      </c>
      <c r="G164" s="151">
        <f t="shared" ref="G164:Q164" si="81">SUM(G160:G163)</f>
        <v>0</v>
      </c>
      <c r="H164" s="151">
        <f t="shared" si="81"/>
        <v>0</v>
      </c>
      <c r="I164" s="151">
        <f t="shared" si="81"/>
        <v>0</v>
      </c>
      <c r="J164" s="151">
        <f t="shared" si="81"/>
        <v>0</v>
      </c>
      <c r="K164" s="151">
        <f t="shared" si="81"/>
        <v>0</v>
      </c>
      <c r="L164" s="151">
        <f t="shared" si="81"/>
        <v>0</v>
      </c>
      <c r="M164" s="151">
        <f t="shared" si="81"/>
        <v>0</v>
      </c>
      <c r="N164" s="151">
        <f t="shared" si="81"/>
        <v>0</v>
      </c>
      <c r="O164" s="151">
        <f t="shared" si="81"/>
        <v>3000</v>
      </c>
      <c r="P164" s="151">
        <f t="shared" si="81"/>
        <v>0</v>
      </c>
      <c r="Q164" s="151">
        <f t="shared" si="81"/>
        <v>0</v>
      </c>
      <c r="R164" s="151">
        <f>SUM(R160:R163)</f>
        <v>3000</v>
      </c>
      <c r="S164" s="151">
        <f t="shared" ref="S164:AD164" si="82">SUM(S160:S163)</f>
        <v>0</v>
      </c>
      <c r="T164" s="151">
        <f t="shared" si="82"/>
        <v>0</v>
      </c>
      <c r="U164" s="151">
        <f t="shared" si="82"/>
        <v>0</v>
      </c>
      <c r="V164" s="151">
        <f t="shared" si="82"/>
        <v>0</v>
      </c>
      <c r="W164" s="151">
        <f t="shared" si="82"/>
        <v>0</v>
      </c>
      <c r="X164" s="151">
        <f t="shared" si="82"/>
        <v>0</v>
      </c>
      <c r="Y164" s="151">
        <f t="shared" si="82"/>
        <v>0</v>
      </c>
      <c r="Z164" s="151">
        <f t="shared" si="82"/>
        <v>0</v>
      </c>
      <c r="AA164" s="151">
        <f t="shared" si="82"/>
        <v>0</v>
      </c>
      <c r="AB164" s="151">
        <f t="shared" si="82"/>
        <v>3000</v>
      </c>
      <c r="AC164" s="151">
        <f t="shared" si="82"/>
        <v>3000</v>
      </c>
      <c r="AD164" s="151">
        <f t="shared" si="82"/>
        <v>3000</v>
      </c>
    </row>
    <row r="165" spans="1:30" ht="7.5" customHeight="1" x14ac:dyDescent="0.25">
      <c r="A165" s="106">
        <v>160</v>
      </c>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152">
        <f t="shared" ref="F166:Q166" si="83">+F82+F133+F156+F164+F31</f>
        <v>0</v>
      </c>
      <c r="G166" s="152">
        <f t="shared" si="83"/>
        <v>0</v>
      </c>
      <c r="H166" s="152">
        <f t="shared" si="83"/>
        <v>0</v>
      </c>
      <c r="I166" s="152">
        <f t="shared" si="83"/>
        <v>0</v>
      </c>
      <c r="J166" s="152">
        <f t="shared" si="83"/>
        <v>0</v>
      </c>
      <c r="K166" s="152">
        <f t="shared" si="83"/>
        <v>0</v>
      </c>
      <c r="L166" s="152">
        <f t="shared" si="83"/>
        <v>0</v>
      </c>
      <c r="M166" s="152">
        <f t="shared" si="83"/>
        <v>0</v>
      </c>
      <c r="N166" s="152">
        <f t="shared" si="83"/>
        <v>408939.52000000002</v>
      </c>
      <c r="O166" s="152">
        <f t="shared" si="83"/>
        <v>52218.999999999993</v>
      </c>
      <c r="P166" s="152">
        <f t="shared" si="83"/>
        <v>0</v>
      </c>
      <c r="Q166" s="152">
        <f t="shared" si="83"/>
        <v>0</v>
      </c>
      <c r="R166" s="152">
        <f>+R82+R133+R156+R164+R31</f>
        <v>461158.51999999996</v>
      </c>
      <c r="S166" s="152">
        <f t="shared" ref="S166:AD166" si="84">+S82+S133+S156+S164+S31</f>
        <v>0</v>
      </c>
      <c r="T166" s="152">
        <f t="shared" si="84"/>
        <v>0</v>
      </c>
      <c r="U166" s="152">
        <f t="shared" si="84"/>
        <v>0</v>
      </c>
      <c r="V166" s="152">
        <f t="shared" si="84"/>
        <v>0</v>
      </c>
      <c r="W166" s="152">
        <f t="shared" si="84"/>
        <v>0</v>
      </c>
      <c r="X166" s="152">
        <f t="shared" si="84"/>
        <v>0</v>
      </c>
      <c r="Y166" s="152">
        <f t="shared" si="84"/>
        <v>0</v>
      </c>
      <c r="Z166" s="152">
        <f t="shared" si="84"/>
        <v>0</v>
      </c>
      <c r="AA166" s="152">
        <f t="shared" si="84"/>
        <v>408939.52000000002</v>
      </c>
      <c r="AB166" s="152">
        <f t="shared" si="84"/>
        <v>461158.51999999996</v>
      </c>
      <c r="AC166" s="152">
        <f t="shared" si="84"/>
        <v>461158.51999999996</v>
      </c>
      <c r="AD166" s="152">
        <f t="shared" si="84"/>
        <v>461158.51999999996</v>
      </c>
    </row>
    <row r="167" spans="1:30" x14ac:dyDescent="0.25">
      <c r="A167" s="106">
        <v>162</v>
      </c>
      <c r="B167" s="40" t="s">
        <v>118</v>
      </c>
      <c r="C167" s="41"/>
      <c r="D167" s="41"/>
      <c r="E167" s="99"/>
      <c r="F167" s="152">
        <f t="shared" ref="F167:Q167" si="85">+F22-F166</f>
        <v>0</v>
      </c>
      <c r="G167" s="152">
        <f t="shared" si="85"/>
        <v>0</v>
      </c>
      <c r="H167" s="152">
        <f t="shared" si="85"/>
        <v>0</v>
      </c>
      <c r="I167" s="152">
        <f t="shared" si="85"/>
        <v>0</v>
      </c>
      <c r="J167" s="152">
        <f t="shared" si="85"/>
        <v>0</v>
      </c>
      <c r="K167" s="152">
        <f t="shared" si="85"/>
        <v>0</v>
      </c>
      <c r="L167" s="152">
        <f t="shared" si="85"/>
        <v>0</v>
      </c>
      <c r="M167" s="152">
        <f t="shared" si="85"/>
        <v>0</v>
      </c>
      <c r="N167" s="152">
        <f t="shared" si="85"/>
        <v>23260.320000000007</v>
      </c>
      <c r="O167" s="152">
        <f t="shared" si="85"/>
        <v>-13948.009999999995</v>
      </c>
      <c r="P167" s="152">
        <f t="shared" si="85"/>
        <v>0</v>
      </c>
      <c r="Q167" s="152">
        <f t="shared" si="85"/>
        <v>0</v>
      </c>
      <c r="R167" s="152">
        <f>+R22-R166</f>
        <v>9312.3100000000559</v>
      </c>
      <c r="S167" s="152">
        <f t="shared" ref="S167:AD167" si="86">+S22-S166</f>
        <v>0</v>
      </c>
      <c r="T167" s="152">
        <f t="shared" si="86"/>
        <v>0</v>
      </c>
      <c r="U167" s="152">
        <f t="shared" si="86"/>
        <v>0</v>
      </c>
      <c r="V167" s="152">
        <f t="shared" si="86"/>
        <v>0</v>
      </c>
      <c r="W167" s="152">
        <f t="shared" si="86"/>
        <v>0</v>
      </c>
      <c r="X167" s="152">
        <f t="shared" si="86"/>
        <v>0</v>
      </c>
      <c r="Y167" s="152">
        <f t="shared" si="86"/>
        <v>0</v>
      </c>
      <c r="Z167" s="152">
        <f t="shared" si="86"/>
        <v>0</v>
      </c>
      <c r="AA167" s="152">
        <f t="shared" si="86"/>
        <v>23260.320000000007</v>
      </c>
      <c r="AB167" s="152">
        <f t="shared" si="86"/>
        <v>9312.3100000000559</v>
      </c>
      <c r="AC167" s="152">
        <f t="shared" si="86"/>
        <v>9312.3100000000559</v>
      </c>
      <c r="AD167" s="152">
        <f t="shared" si="86"/>
        <v>9312.3100000000559</v>
      </c>
    </row>
    <row r="168" spans="1:30" x14ac:dyDescent="0.25">
      <c r="AC168" s="35" t="s">
        <v>179</v>
      </c>
      <c r="AD168" s="137">
        <f>+R166-AD166</f>
        <v>0</v>
      </c>
    </row>
    <row r="169" spans="1:30" x14ac:dyDescent="0.25">
      <c r="F169" s="137"/>
      <c r="AD169" s="137">
        <f>+R167-AD167</f>
        <v>0</v>
      </c>
    </row>
    <row r="170" spans="1:30" x14ac:dyDescent="0.25">
      <c r="F170" s="137"/>
    </row>
  </sheetData>
  <mergeCells count="5">
    <mergeCell ref="B2:R2"/>
    <mergeCell ref="F3:R3"/>
    <mergeCell ref="C150:D150"/>
    <mergeCell ref="S3:AD3"/>
    <mergeCell ref="B1:AD1"/>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M151" workbookViewId="0">
      <selection activeCell="F4" sqref="F4"/>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customWidth="1" outlineLevel="1"/>
    <col min="17" max="17" width="15.28515625" style="35" customWidth="1" outlineLevel="1"/>
    <col min="18" max="18" width="13.85546875" style="35" customWidth="1"/>
    <col min="19" max="29" width="14.140625" style="35" customWidth="1" outlineLevel="1"/>
    <col min="30" max="30" width="15.28515625" style="35" customWidth="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180</v>
      </c>
      <c r="G3" s="237"/>
      <c r="H3" s="237"/>
      <c r="I3" s="237"/>
      <c r="J3" s="237"/>
      <c r="K3" s="237"/>
      <c r="L3" s="237"/>
      <c r="M3" s="237"/>
      <c r="N3" s="237"/>
      <c r="O3" s="237"/>
      <c r="P3" s="237"/>
      <c r="Q3" s="237"/>
      <c r="R3" s="238"/>
      <c r="S3" s="239" t="str">
        <f>+F3&amp;" YTD"</f>
        <v>2012 Actuals YTD</v>
      </c>
      <c r="T3" s="240"/>
      <c r="U3" s="240"/>
      <c r="V3" s="240"/>
      <c r="W3" s="240"/>
      <c r="X3" s="240"/>
      <c r="Y3" s="240"/>
      <c r="Z3" s="240"/>
      <c r="AA3" s="240"/>
      <c r="AB3" s="240"/>
      <c r="AC3" s="240"/>
      <c r="AD3" s="241"/>
    </row>
    <row r="4" spans="1:30" s="5" customFormat="1" ht="53.25" customHeight="1" x14ac:dyDescent="0.25">
      <c r="A4" s="107"/>
      <c r="E4" s="88"/>
      <c r="F4" s="69" t="s">
        <v>166</v>
      </c>
      <c r="G4" s="69" t="s">
        <v>168</v>
      </c>
      <c r="H4" s="69" t="s">
        <v>169</v>
      </c>
      <c r="I4" s="69" t="s">
        <v>170</v>
      </c>
      <c r="J4" s="69" t="s">
        <v>171</v>
      </c>
      <c r="K4" s="69" t="s">
        <v>172</v>
      </c>
      <c r="L4" s="69" t="s">
        <v>173</v>
      </c>
      <c r="M4" s="69" t="s">
        <v>174</v>
      </c>
      <c r="N4" s="69" t="s">
        <v>175</v>
      </c>
      <c r="O4" s="69" t="s">
        <v>176</v>
      </c>
      <c r="P4" s="69" t="s">
        <v>177</v>
      </c>
      <c r="Q4" s="69" t="s">
        <v>178</v>
      </c>
      <c r="R4" s="69"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94648.51</v>
      </c>
      <c r="G7" s="71">
        <v>34867.25</v>
      </c>
      <c r="H7" s="71">
        <v>28308</v>
      </c>
      <c r="I7" s="71">
        <v>41773</v>
      </c>
      <c r="J7" s="71">
        <v>29309</v>
      </c>
      <c r="K7" s="71">
        <v>31714</v>
      </c>
      <c r="L7" s="71">
        <v>89787.48</v>
      </c>
      <c r="M7" s="71">
        <v>32323</v>
      </c>
      <c r="N7" s="71">
        <v>37297.5</v>
      </c>
      <c r="O7" s="71">
        <v>33238</v>
      </c>
      <c r="P7" s="71">
        <v>39181.5</v>
      </c>
      <c r="Q7" s="71">
        <v>0</v>
      </c>
      <c r="R7" s="79">
        <f>SUM(F7:Q7)</f>
        <v>492447.24</v>
      </c>
      <c r="S7" s="139">
        <f>SUM(F7)</f>
        <v>94648.51</v>
      </c>
      <c r="T7" s="139">
        <f>SUM($F7:G7)</f>
        <v>129515.76</v>
      </c>
      <c r="U7" s="139">
        <f>SUM($F7:H7)</f>
        <v>157823.76</v>
      </c>
      <c r="V7" s="139">
        <f>SUM($F7:I7)</f>
        <v>199596.76</v>
      </c>
      <c r="W7" s="139">
        <f>SUM($F7:J7)</f>
        <v>228905.76</v>
      </c>
      <c r="X7" s="139">
        <f>SUM($F7:K7)</f>
        <v>260619.76</v>
      </c>
      <c r="Y7" s="139">
        <f>SUM($F7:L7)</f>
        <v>350407.24</v>
      </c>
      <c r="Z7" s="139">
        <f>SUM($F7:M7)</f>
        <v>382730.23999999999</v>
      </c>
      <c r="AA7" s="139">
        <f>SUM($F7:N7)</f>
        <v>420027.74</v>
      </c>
      <c r="AB7" s="139">
        <f>SUM($F7:O7)</f>
        <v>453265.74</v>
      </c>
      <c r="AC7" s="139">
        <f>SUM($F7:P7)</f>
        <v>492447.24</v>
      </c>
      <c r="AD7" s="139">
        <f>SUM($F7:Q7)</f>
        <v>492447.24</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25</v>
      </c>
      <c r="I9" s="71">
        <v>3132</v>
      </c>
      <c r="J9" s="71">
        <v>0</v>
      </c>
      <c r="K9" s="71">
        <v>0</v>
      </c>
      <c r="L9" s="71">
        <v>0</v>
      </c>
      <c r="M9" s="71">
        <v>0</v>
      </c>
      <c r="N9" s="71">
        <v>0</v>
      </c>
      <c r="O9" s="71">
        <v>0</v>
      </c>
      <c r="P9" s="71">
        <v>0</v>
      </c>
      <c r="Q9" s="71">
        <v>0</v>
      </c>
      <c r="R9" s="79">
        <f t="shared" si="0"/>
        <v>3157</v>
      </c>
      <c r="S9" s="139">
        <f t="shared" si="1"/>
        <v>0</v>
      </c>
      <c r="T9" s="139">
        <f>SUM($F9:G9)</f>
        <v>0</v>
      </c>
      <c r="U9" s="139">
        <f>SUM($F9:H9)</f>
        <v>25</v>
      </c>
      <c r="V9" s="139">
        <f>SUM($F9:I9)</f>
        <v>3157</v>
      </c>
      <c r="W9" s="139">
        <f>SUM($F9:J9)</f>
        <v>3157</v>
      </c>
      <c r="X9" s="139">
        <f>SUM($F9:K9)</f>
        <v>3157</v>
      </c>
      <c r="Y9" s="139">
        <f>SUM($F9:L9)</f>
        <v>3157</v>
      </c>
      <c r="Z9" s="139">
        <f>SUM($F9:M9)</f>
        <v>3157</v>
      </c>
      <c r="AA9" s="139">
        <f>SUM($F9:N9)</f>
        <v>3157</v>
      </c>
      <c r="AB9" s="139">
        <f>SUM($F9:O9)</f>
        <v>3157</v>
      </c>
      <c r="AC9" s="139">
        <f>SUM($F9:P9)</f>
        <v>3157</v>
      </c>
      <c r="AD9" s="139">
        <f>SUM($F9:Q9)</f>
        <v>3157</v>
      </c>
    </row>
    <row r="10" spans="1:30" x14ac:dyDescent="0.25">
      <c r="A10" s="106">
        <v>5</v>
      </c>
      <c r="C10" s="1" t="s">
        <v>4</v>
      </c>
      <c r="F10" s="71">
        <v>0</v>
      </c>
      <c r="G10" s="71">
        <v>0</v>
      </c>
      <c r="H10" s="71">
        <v>0</v>
      </c>
      <c r="I10" s="71">
        <v>0</v>
      </c>
      <c r="J10" s="71">
        <v>0</v>
      </c>
      <c r="K10" s="71">
        <v>0</v>
      </c>
      <c r="L10" s="71">
        <v>0</v>
      </c>
      <c r="M10" s="71">
        <v>0</v>
      </c>
      <c r="N10" s="71">
        <v>0</v>
      </c>
      <c r="O10" s="71">
        <v>0</v>
      </c>
      <c r="P10" s="71">
        <v>1094</v>
      </c>
      <c r="Q10" s="71">
        <v>0</v>
      </c>
      <c r="R10" s="79">
        <f t="shared" si="0"/>
        <v>1094</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1094</v>
      </c>
      <c r="AD10" s="139">
        <f>SUM($F10:Q10)</f>
        <v>1094</v>
      </c>
    </row>
    <row r="11" spans="1:30" x14ac:dyDescent="0.25">
      <c r="A11" s="106">
        <v>6</v>
      </c>
      <c r="C11" s="1" t="s">
        <v>5</v>
      </c>
      <c r="F11" s="71">
        <v>0</v>
      </c>
      <c r="G11" s="71">
        <v>0</v>
      </c>
      <c r="H11" s="71">
        <v>0</v>
      </c>
      <c r="I11" s="71">
        <v>0</v>
      </c>
      <c r="J11" s="71">
        <v>0</v>
      </c>
      <c r="K11" s="71">
        <v>0</v>
      </c>
      <c r="L11" s="71">
        <v>0</v>
      </c>
      <c r="M11" s="71">
        <v>0</v>
      </c>
      <c r="N11" s="71">
        <v>0</v>
      </c>
      <c r="O11" s="71">
        <v>0</v>
      </c>
      <c r="P11" s="71">
        <v>0</v>
      </c>
      <c r="Q11" s="71">
        <v>0</v>
      </c>
      <c r="R11" s="79">
        <f t="shared" si="0"/>
        <v>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0</v>
      </c>
    </row>
    <row r="12" spans="1:30" x14ac:dyDescent="0.25">
      <c r="A12" s="106">
        <v>7</v>
      </c>
      <c r="C12" s="1" t="s">
        <v>6</v>
      </c>
      <c r="F12" s="71">
        <v>0</v>
      </c>
      <c r="G12" s="71">
        <v>533.66</v>
      </c>
      <c r="H12" s="71">
        <v>1412</v>
      </c>
      <c r="I12" s="71">
        <v>1388</v>
      </c>
      <c r="J12" s="71">
        <v>0</v>
      </c>
      <c r="K12" s="71">
        <v>0</v>
      </c>
      <c r="L12" s="71">
        <v>0</v>
      </c>
      <c r="M12" s="71">
        <v>0</v>
      </c>
      <c r="N12" s="71">
        <v>0</v>
      </c>
      <c r="O12" s="71">
        <v>0</v>
      </c>
      <c r="P12" s="71">
        <v>0</v>
      </c>
      <c r="Q12" s="71">
        <v>0</v>
      </c>
      <c r="R12" s="79">
        <f t="shared" si="0"/>
        <v>3333.66</v>
      </c>
      <c r="S12" s="139">
        <f t="shared" si="1"/>
        <v>0</v>
      </c>
      <c r="T12" s="139">
        <f>SUM($F12:G12)</f>
        <v>533.66</v>
      </c>
      <c r="U12" s="139">
        <f>SUM($F12:H12)</f>
        <v>1945.6599999999999</v>
      </c>
      <c r="V12" s="139">
        <f>SUM($F12:I12)</f>
        <v>3333.66</v>
      </c>
      <c r="W12" s="139">
        <f>SUM($F12:J12)</f>
        <v>3333.66</v>
      </c>
      <c r="X12" s="139">
        <f>SUM($F12:K12)</f>
        <v>3333.66</v>
      </c>
      <c r="Y12" s="139">
        <f>SUM($F12:L12)</f>
        <v>3333.66</v>
      </c>
      <c r="Z12" s="139">
        <f>SUM($F12:M12)</f>
        <v>3333.66</v>
      </c>
      <c r="AA12" s="139">
        <f>SUM($F12:N12)</f>
        <v>3333.66</v>
      </c>
      <c r="AB12" s="139">
        <f>SUM($F12:O12)</f>
        <v>3333.66</v>
      </c>
      <c r="AC12" s="139">
        <f>SUM($F12:P12)</f>
        <v>3333.66</v>
      </c>
      <c r="AD12" s="139">
        <f>SUM($F12:Q12)</f>
        <v>3333.66</v>
      </c>
    </row>
    <row r="13" spans="1:30" x14ac:dyDescent="0.25">
      <c r="A13" s="106">
        <v>8</v>
      </c>
      <c r="B13" s="15" t="s">
        <v>7</v>
      </c>
      <c r="C13" s="15"/>
      <c r="D13" s="15"/>
      <c r="E13" s="90"/>
      <c r="F13" s="72">
        <f t="shared" ref="F13:Q13" si="2">SUM(F7:F12)</f>
        <v>94648.51</v>
      </c>
      <c r="G13" s="72">
        <f t="shared" si="2"/>
        <v>35400.910000000003</v>
      </c>
      <c r="H13" s="72">
        <f t="shared" si="2"/>
        <v>29745</v>
      </c>
      <c r="I13" s="72">
        <f t="shared" si="2"/>
        <v>46293</v>
      </c>
      <c r="J13" s="72">
        <f t="shared" si="2"/>
        <v>29309</v>
      </c>
      <c r="K13" s="72">
        <f t="shared" si="2"/>
        <v>31714</v>
      </c>
      <c r="L13" s="72">
        <f t="shared" si="2"/>
        <v>89787.48</v>
      </c>
      <c r="M13" s="72">
        <f t="shared" si="2"/>
        <v>32323</v>
      </c>
      <c r="N13" s="72">
        <f t="shared" si="2"/>
        <v>37297.5</v>
      </c>
      <c r="O13" s="72">
        <f t="shared" si="2"/>
        <v>33238</v>
      </c>
      <c r="P13" s="72">
        <f t="shared" si="2"/>
        <v>40275.5</v>
      </c>
      <c r="Q13" s="72">
        <f t="shared" si="2"/>
        <v>0</v>
      </c>
      <c r="R13" s="72">
        <f>SUM(R7:R12)</f>
        <v>500031.89999999997</v>
      </c>
      <c r="S13" s="140">
        <f t="shared" ref="S13:AD13" si="3">SUM(S7:S12)</f>
        <v>94648.51</v>
      </c>
      <c r="T13" s="140">
        <f t="shared" si="3"/>
        <v>130049.42</v>
      </c>
      <c r="U13" s="140">
        <f t="shared" si="3"/>
        <v>159794.42000000001</v>
      </c>
      <c r="V13" s="140">
        <f t="shared" si="3"/>
        <v>206087.42</v>
      </c>
      <c r="W13" s="140">
        <f t="shared" si="3"/>
        <v>235396.42</v>
      </c>
      <c r="X13" s="140">
        <f t="shared" si="3"/>
        <v>267110.42</v>
      </c>
      <c r="Y13" s="140">
        <f t="shared" si="3"/>
        <v>356897.89999999997</v>
      </c>
      <c r="Z13" s="140">
        <f t="shared" si="3"/>
        <v>389220.89999999997</v>
      </c>
      <c r="AA13" s="140">
        <f t="shared" si="3"/>
        <v>426518.39999999997</v>
      </c>
      <c r="AB13" s="140">
        <f t="shared" si="3"/>
        <v>459756.39999999997</v>
      </c>
      <c r="AC13" s="140">
        <f t="shared" si="3"/>
        <v>500031.89999999997</v>
      </c>
      <c r="AD13" s="140">
        <f t="shared" si="3"/>
        <v>500031.89999999997</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c r="F16" s="71">
        <v>366.6</v>
      </c>
      <c r="G16" s="71">
        <v>428.1</v>
      </c>
      <c r="H16" s="71">
        <v>336.2</v>
      </c>
      <c r="I16" s="71">
        <v>1279.82</v>
      </c>
      <c r="J16" s="71">
        <v>501.58</v>
      </c>
      <c r="K16" s="71">
        <v>507.41</v>
      </c>
      <c r="L16" s="71">
        <v>373.97</v>
      </c>
      <c r="M16" s="71">
        <v>904.14</v>
      </c>
      <c r="N16" s="71">
        <v>390.56</v>
      </c>
      <c r="O16" s="71">
        <v>898.42</v>
      </c>
      <c r="P16" s="71">
        <v>787.16</v>
      </c>
      <c r="Q16" s="71">
        <v>0</v>
      </c>
      <c r="R16" s="79">
        <f t="shared" ref="R16:R20" si="4">SUM(F16:Q16)</f>
        <v>6773.9600000000009</v>
      </c>
      <c r="S16" s="139">
        <f t="shared" ref="S16:S20" si="5">SUM(F16)</f>
        <v>366.6</v>
      </c>
      <c r="T16" s="139">
        <f>SUM($F16:G16)</f>
        <v>794.7</v>
      </c>
      <c r="U16" s="139">
        <f>SUM($F16:H16)</f>
        <v>1130.9000000000001</v>
      </c>
      <c r="V16" s="139">
        <f>SUM($F16:I16)</f>
        <v>2410.7200000000003</v>
      </c>
      <c r="W16" s="139">
        <f>SUM($F16:J16)</f>
        <v>2912.3</v>
      </c>
      <c r="X16" s="139">
        <f>SUM($F16:K16)</f>
        <v>3419.71</v>
      </c>
      <c r="Y16" s="139">
        <f>SUM($F16:L16)</f>
        <v>3793.6800000000003</v>
      </c>
      <c r="Z16" s="139">
        <f>SUM($F16:M16)</f>
        <v>4697.8200000000006</v>
      </c>
      <c r="AA16" s="139">
        <f>SUM($F16:N16)</f>
        <v>5088.380000000001</v>
      </c>
      <c r="AB16" s="139">
        <f>SUM($F16:O16)</f>
        <v>5986.8000000000011</v>
      </c>
      <c r="AC16" s="139">
        <f>SUM($F16:P16)</f>
        <v>6773.9600000000009</v>
      </c>
      <c r="AD16" s="139">
        <f>SUM($F16:Q16)</f>
        <v>6773.9600000000009</v>
      </c>
    </row>
    <row r="17" spans="1:30" x14ac:dyDescent="0.25">
      <c r="A17" s="106">
        <v>12</v>
      </c>
      <c r="C17" s="1" t="s">
        <v>8</v>
      </c>
      <c r="E17" s="101"/>
      <c r="F17" s="71">
        <v>114</v>
      </c>
      <c r="G17" s="71">
        <v>429</v>
      </c>
      <c r="H17" s="71">
        <v>20</v>
      </c>
      <c r="I17" s="71">
        <v>142</v>
      </c>
      <c r="J17" s="71">
        <v>170</v>
      </c>
      <c r="K17" s="71">
        <v>270.69</v>
      </c>
      <c r="L17" s="71">
        <v>20.100000000000001</v>
      </c>
      <c r="M17" s="71">
        <v>122</v>
      </c>
      <c r="N17" s="71">
        <v>311</v>
      </c>
      <c r="O17" s="71">
        <v>65</v>
      </c>
      <c r="P17" s="71">
        <v>699</v>
      </c>
      <c r="Q17" s="71">
        <v>0</v>
      </c>
      <c r="R17" s="79">
        <f t="shared" si="4"/>
        <v>2362.79</v>
      </c>
      <c r="S17" s="139">
        <f t="shared" si="5"/>
        <v>114</v>
      </c>
      <c r="T17" s="139">
        <f>SUM($F17:G17)</f>
        <v>543</v>
      </c>
      <c r="U17" s="139">
        <f>SUM($F17:H17)</f>
        <v>563</v>
      </c>
      <c r="V17" s="139">
        <f>SUM($F17:I17)</f>
        <v>705</v>
      </c>
      <c r="W17" s="139">
        <f>SUM($F17:J17)</f>
        <v>875</v>
      </c>
      <c r="X17" s="139">
        <f>SUM($F17:K17)</f>
        <v>1145.69</v>
      </c>
      <c r="Y17" s="139">
        <f>SUM($F17:L17)</f>
        <v>1165.79</v>
      </c>
      <c r="Z17" s="139">
        <f>SUM($F17:M17)</f>
        <v>1287.79</v>
      </c>
      <c r="AA17" s="139">
        <f>SUM($F17:N17)</f>
        <v>1598.79</v>
      </c>
      <c r="AB17" s="139">
        <f>SUM($F17:O17)</f>
        <v>1663.79</v>
      </c>
      <c r="AC17" s="139">
        <f>SUM($F17:P17)</f>
        <v>2362.79</v>
      </c>
      <c r="AD17" s="139">
        <f>SUM($F17:Q17)</f>
        <v>2362.79</v>
      </c>
    </row>
    <row r="18" spans="1:30" x14ac:dyDescent="0.25">
      <c r="A18" s="106">
        <v>13</v>
      </c>
      <c r="C18" s="1" t="s">
        <v>10</v>
      </c>
      <c r="E18" s="101"/>
      <c r="F18" s="71">
        <v>0</v>
      </c>
      <c r="G18" s="71">
        <v>0</v>
      </c>
      <c r="H18" s="71">
        <v>0</v>
      </c>
      <c r="I18" s="71">
        <v>0</v>
      </c>
      <c r="J18" s="71">
        <v>0</v>
      </c>
      <c r="K18" s="71">
        <v>0</v>
      </c>
      <c r="L18" s="71">
        <v>0</v>
      </c>
      <c r="M18" s="71">
        <v>0</v>
      </c>
      <c r="N18" s="71">
        <v>0</v>
      </c>
      <c r="O18" s="71">
        <v>0</v>
      </c>
      <c r="P18" s="71">
        <v>0</v>
      </c>
      <c r="Q18" s="71">
        <v>0</v>
      </c>
      <c r="R18" s="79">
        <f t="shared" si="4"/>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0" x14ac:dyDescent="0.25">
      <c r="A19" s="106">
        <v>14</v>
      </c>
      <c r="C19" s="1" t="s">
        <v>12</v>
      </c>
      <c r="E19" s="101"/>
      <c r="F19" s="71">
        <v>0</v>
      </c>
      <c r="G19" s="71">
        <v>0</v>
      </c>
      <c r="H19" s="71">
        <v>1.22</v>
      </c>
      <c r="I19" s="71">
        <v>0</v>
      </c>
      <c r="J19" s="71">
        <v>0</v>
      </c>
      <c r="K19" s="71">
        <v>0</v>
      </c>
      <c r="L19" s="71">
        <v>1.23</v>
      </c>
      <c r="M19" s="71">
        <v>0</v>
      </c>
      <c r="N19" s="71">
        <v>1.24</v>
      </c>
      <c r="O19" s="71">
        <v>0</v>
      </c>
      <c r="P19" s="71">
        <v>0</v>
      </c>
      <c r="Q19" s="71">
        <v>0</v>
      </c>
      <c r="R19" s="79">
        <f t="shared" si="4"/>
        <v>3.6900000000000004</v>
      </c>
      <c r="S19" s="139">
        <f t="shared" si="5"/>
        <v>0</v>
      </c>
      <c r="T19" s="139">
        <f>SUM($F19:G19)</f>
        <v>0</v>
      </c>
      <c r="U19" s="139">
        <f>SUM($F19:H19)</f>
        <v>1.22</v>
      </c>
      <c r="V19" s="139">
        <f>SUM($F19:I19)</f>
        <v>1.22</v>
      </c>
      <c r="W19" s="139">
        <f>SUM($F19:J19)</f>
        <v>1.22</v>
      </c>
      <c r="X19" s="139">
        <f>SUM($F19:K19)</f>
        <v>1.22</v>
      </c>
      <c r="Y19" s="139">
        <f>SUM($F19:L19)</f>
        <v>2.4500000000000002</v>
      </c>
      <c r="Z19" s="139">
        <f>SUM($F19:M19)</f>
        <v>2.4500000000000002</v>
      </c>
      <c r="AA19" s="139">
        <f>SUM($F19:N19)</f>
        <v>3.6900000000000004</v>
      </c>
      <c r="AB19" s="139">
        <f>SUM($F19:O19)</f>
        <v>3.6900000000000004</v>
      </c>
      <c r="AC19" s="139">
        <f>SUM($F19:P19)</f>
        <v>3.6900000000000004</v>
      </c>
      <c r="AD19" s="139">
        <f>SUM($F19:Q19)</f>
        <v>3.6900000000000004</v>
      </c>
    </row>
    <row r="20" spans="1:30" x14ac:dyDescent="0.25">
      <c r="A20" s="106">
        <v>15</v>
      </c>
      <c r="C20" s="1" t="s">
        <v>142</v>
      </c>
      <c r="E20" s="101"/>
      <c r="F20" s="71">
        <v>0</v>
      </c>
      <c r="G20" s="71">
        <v>0</v>
      </c>
      <c r="H20" s="71">
        <v>35</v>
      </c>
      <c r="I20" s="71">
        <v>-25</v>
      </c>
      <c r="J20" s="71">
        <v>30</v>
      </c>
      <c r="K20" s="71">
        <v>-29.9</v>
      </c>
      <c r="L20" s="71">
        <v>536.11</v>
      </c>
      <c r="M20" s="71">
        <v>-521.46</v>
      </c>
      <c r="N20" s="71">
        <v>-14.75</v>
      </c>
      <c r="O20" s="71">
        <v>0</v>
      </c>
      <c r="P20" s="71">
        <v>-10</v>
      </c>
      <c r="Q20" s="71">
        <v>0</v>
      </c>
      <c r="R20" s="79">
        <f t="shared" si="4"/>
        <v>0</v>
      </c>
      <c r="S20" s="139">
        <f t="shared" si="5"/>
        <v>0</v>
      </c>
      <c r="T20" s="139">
        <f>SUM($F20:G20)</f>
        <v>0</v>
      </c>
      <c r="U20" s="139">
        <f>SUM($F20:H20)</f>
        <v>35</v>
      </c>
      <c r="V20" s="139">
        <f>SUM($F20:I20)</f>
        <v>10</v>
      </c>
      <c r="W20" s="139">
        <f>SUM($F20:J20)</f>
        <v>40</v>
      </c>
      <c r="X20" s="139">
        <f>SUM($F20:K20)</f>
        <v>10.100000000000001</v>
      </c>
      <c r="Y20" s="139">
        <f>SUM($F20:L20)</f>
        <v>546.21</v>
      </c>
      <c r="Z20" s="139">
        <f>SUM($F20:M20)</f>
        <v>24.75</v>
      </c>
      <c r="AA20" s="139">
        <f>SUM($F20:N20)</f>
        <v>10</v>
      </c>
      <c r="AB20" s="139">
        <f>SUM($F20:O20)</f>
        <v>10</v>
      </c>
      <c r="AC20" s="139">
        <f>SUM($F20:P20)</f>
        <v>0</v>
      </c>
      <c r="AD20" s="139">
        <f>SUM($F20:Q20)</f>
        <v>0</v>
      </c>
    </row>
    <row r="21" spans="1:30" x14ac:dyDescent="0.25">
      <c r="A21" s="106">
        <v>16</v>
      </c>
      <c r="B21" s="15" t="s">
        <v>11</v>
      </c>
      <c r="C21" s="15"/>
      <c r="D21" s="15"/>
      <c r="E21" s="90"/>
      <c r="F21" s="72">
        <f t="shared" ref="F21:Q21" si="6">SUM(F16:F20)</f>
        <v>480.6</v>
      </c>
      <c r="G21" s="72">
        <f t="shared" si="6"/>
        <v>857.1</v>
      </c>
      <c r="H21" s="72">
        <f t="shared" si="6"/>
        <v>392.42</v>
      </c>
      <c r="I21" s="72">
        <f t="shared" si="6"/>
        <v>1396.82</v>
      </c>
      <c r="J21" s="72">
        <f t="shared" si="6"/>
        <v>701.57999999999993</v>
      </c>
      <c r="K21" s="72">
        <f t="shared" si="6"/>
        <v>748.2</v>
      </c>
      <c r="L21" s="72">
        <f t="shared" si="6"/>
        <v>931.41000000000008</v>
      </c>
      <c r="M21" s="72">
        <f t="shared" si="6"/>
        <v>504.67999999999984</v>
      </c>
      <c r="N21" s="72">
        <f t="shared" si="6"/>
        <v>688.05</v>
      </c>
      <c r="O21" s="72">
        <f t="shared" si="6"/>
        <v>963.42</v>
      </c>
      <c r="P21" s="72">
        <f t="shared" si="6"/>
        <v>1476.1599999999999</v>
      </c>
      <c r="Q21" s="72">
        <f t="shared" si="6"/>
        <v>0</v>
      </c>
      <c r="R21" s="72">
        <f>SUM(R16:R20)</f>
        <v>9140.44</v>
      </c>
      <c r="S21" s="140">
        <f t="shared" ref="S21:AD21" si="7">SUM(S16:S20)</f>
        <v>480.6</v>
      </c>
      <c r="T21" s="140">
        <f t="shared" si="7"/>
        <v>1337.7</v>
      </c>
      <c r="U21" s="140">
        <f t="shared" si="7"/>
        <v>1730.1200000000001</v>
      </c>
      <c r="V21" s="140">
        <f t="shared" si="7"/>
        <v>3126.94</v>
      </c>
      <c r="W21" s="140">
        <f t="shared" si="7"/>
        <v>3828.52</v>
      </c>
      <c r="X21" s="140">
        <f t="shared" si="7"/>
        <v>4576.72</v>
      </c>
      <c r="Y21" s="140">
        <f t="shared" si="7"/>
        <v>5508.13</v>
      </c>
      <c r="Z21" s="140">
        <f t="shared" si="7"/>
        <v>6012.81</v>
      </c>
      <c r="AA21" s="140">
        <f t="shared" si="7"/>
        <v>6700.8600000000006</v>
      </c>
      <c r="AB21" s="140">
        <f t="shared" si="7"/>
        <v>7664.2800000000007</v>
      </c>
      <c r="AC21" s="140">
        <f t="shared" si="7"/>
        <v>9140.44</v>
      </c>
      <c r="AD21" s="140">
        <f t="shared" si="7"/>
        <v>9140.44</v>
      </c>
    </row>
    <row r="22" spans="1:30" x14ac:dyDescent="0.25">
      <c r="A22" s="106">
        <v>17</v>
      </c>
      <c r="B22" s="15" t="s">
        <v>14</v>
      </c>
      <c r="C22" s="15"/>
      <c r="D22" s="15"/>
      <c r="E22" s="90"/>
      <c r="F22" s="72">
        <f t="shared" ref="F22:Q22" si="8">+F13+F21</f>
        <v>95129.11</v>
      </c>
      <c r="G22" s="72">
        <f t="shared" si="8"/>
        <v>36258.01</v>
      </c>
      <c r="H22" s="72">
        <f t="shared" si="8"/>
        <v>30137.42</v>
      </c>
      <c r="I22" s="72">
        <f t="shared" si="8"/>
        <v>47689.82</v>
      </c>
      <c r="J22" s="72">
        <f t="shared" si="8"/>
        <v>30010.58</v>
      </c>
      <c r="K22" s="72">
        <f t="shared" si="8"/>
        <v>32462.2</v>
      </c>
      <c r="L22" s="72">
        <f t="shared" si="8"/>
        <v>90718.89</v>
      </c>
      <c r="M22" s="72">
        <f t="shared" si="8"/>
        <v>32827.68</v>
      </c>
      <c r="N22" s="72">
        <f t="shared" si="8"/>
        <v>37985.550000000003</v>
      </c>
      <c r="O22" s="72">
        <f t="shared" si="8"/>
        <v>34201.42</v>
      </c>
      <c r="P22" s="72">
        <f t="shared" si="8"/>
        <v>41751.660000000003</v>
      </c>
      <c r="Q22" s="72">
        <f t="shared" si="8"/>
        <v>0</v>
      </c>
      <c r="R22" s="72">
        <f>+R13+R21</f>
        <v>509172.33999999997</v>
      </c>
      <c r="S22" s="140">
        <f t="shared" ref="S22:AD22" si="9">+S13+S21</f>
        <v>95129.11</v>
      </c>
      <c r="T22" s="140">
        <f t="shared" si="9"/>
        <v>131387.12</v>
      </c>
      <c r="U22" s="140">
        <f t="shared" si="9"/>
        <v>161524.54</v>
      </c>
      <c r="V22" s="140">
        <f t="shared" si="9"/>
        <v>209214.36000000002</v>
      </c>
      <c r="W22" s="140">
        <f t="shared" si="9"/>
        <v>239224.94</v>
      </c>
      <c r="X22" s="140">
        <f t="shared" si="9"/>
        <v>271687.13999999996</v>
      </c>
      <c r="Y22" s="140">
        <f t="shared" si="9"/>
        <v>362406.02999999997</v>
      </c>
      <c r="Z22" s="140">
        <f t="shared" si="9"/>
        <v>395233.70999999996</v>
      </c>
      <c r="AA22" s="140">
        <f t="shared" si="9"/>
        <v>433219.25999999995</v>
      </c>
      <c r="AB22" s="140">
        <f t="shared" si="9"/>
        <v>467420.68</v>
      </c>
      <c r="AC22" s="140">
        <f t="shared" si="9"/>
        <v>509172.33999999997</v>
      </c>
      <c r="AD22" s="140">
        <f t="shared" si="9"/>
        <v>509172.33999999997</v>
      </c>
    </row>
    <row r="23" spans="1:30" ht="6" customHeight="1" x14ac:dyDescent="0.25">
      <c r="A23" s="106">
        <v>18</v>
      </c>
      <c r="S23" s="137"/>
      <c r="T23" s="137"/>
      <c r="U23" s="137"/>
      <c r="V23" s="137"/>
      <c r="W23" s="137"/>
      <c r="X23" s="137"/>
      <c r="Y23" s="137"/>
      <c r="Z23" s="137"/>
      <c r="AA23" s="137"/>
      <c r="AB23" s="137"/>
      <c r="AC23" s="137"/>
      <c r="AD23" s="137"/>
    </row>
    <row r="24" spans="1:30" ht="18.75" x14ac:dyDescent="0.25">
      <c r="A24" s="106">
        <v>19</v>
      </c>
      <c r="B24" s="11" t="s">
        <v>15</v>
      </c>
      <c r="S24" s="137"/>
      <c r="T24" s="137"/>
      <c r="U24" s="137"/>
      <c r="V24" s="137"/>
      <c r="W24" s="137"/>
      <c r="X24" s="137"/>
      <c r="Y24" s="137"/>
      <c r="Z24" s="137"/>
      <c r="AA24" s="137"/>
      <c r="AB24" s="137"/>
      <c r="AC24" s="137"/>
      <c r="AD24" s="137"/>
    </row>
    <row r="25" spans="1:30" ht="18.75" x14ac:dyDescent="0.25">
      <c r="A25" s="106">
        <v>20</v>
      </c>
      <c r="B25" s="11" t="s">
        <v>137</v>
      </c>
      <c r="S25" s="137"/>
      <c r="T25" s="137"/>
      <c r="U25" s="137"/>
      <c r="V25" s="137"/>
      <c r="W25" s="137"/>
      <c r="X25" s="137"/>
      <c r="Y25" s="137"/>
      <c r="Z25" s="137"/>
      <c r="AA25" s="137"/>
      <c r="AB25" s="137"/>
      <c r="AC25" s="137"/>
      <c r="AD25" s="137"/>
    </row>
    <row r="26" spans="1:30" x14ac:dyDescent="0.25">
      <c r="A26" s="106">
        <v>21</v>
      </c>
      <c r="C26" s="1" t="s">
        <v>17</v>
      </c>
      <c r="S26" s="137"/>
      <c r="T26" s="137"/>
      <c r="U26" s="137"/>
      <c r="V26" s="137"/>
      <c r="W26" s="137"/>
      <c r="X26" s="137"/>
      <c r="Y26" s="137"/>
      <c r="Z26" s="137"/>
      <c r="AA26" s="137"/>
      <c r="AB26" s="137"/>
      <c r="AC26" s="137"/>
      <c r="AD26" s="137"/>
    </row>
    <row r="27" spans="1:30" x14ac:dyDescent="0.25">
      <c r="A27" s="106">
        <v>22</v>
      </c>
      <c r="C27" s="1" t="s">
        <v>16</v>
      </c>
      <c r="F27" s="71"/>
      <c r="G27" s="71"/>
      <c r="H27" s="71"/>
      <c r="I27" s="71"/>
      <c r="J27" s="71"/>
      <c r="K27" s="71"/>
      <c r="L27" s="71"/>
      <c r="M27" s="71"/>
      <c r="N27" s="71"/>
      <c r="O27" s="71"/>
      <c r="P27" s="71"/>
      <c r="Q27" s="71"/>
      <c r="R27" s="71"/>
      <c r="S27" s="138"/>
      <c r="T27" s="138"/>
      <c r="U27" s="138"/>
      <c r="V27" s="138"/>
      <c r="W27" s="138"/>
      <c r="X27" s="138"/>
      <c r="Y27" s="138"/>
      <c r="Z27" s="138"/>
      <c r="AA27" s="138"/>
      <c r="AB27" s="138"/>
      <c r="AC27" s="138"/>
      <c r="AD27" s="138"/>
    </row>
    <row r="28" spans="1:30" x14ac:dyDescent="0.25">
      <c r="A28" s="106">
        <v>23</v>
      </c>
      <c r="C28" s="1" t="s">
        <v>18</v>
      </c>
      <c r="F28" s="71"/>
      <c r="G28" s="71"/>
      <c r="H28" s="71"/>
      <c r="I28" s="71"/>
      <c r="J28" s="71"/>
      <c r="K28" s="71"/>
      <c r="L28" s="71"/>
      <c r="M28" s="71"/>
      <c r="N28" s="71"/>
      <c r="O28" s="71"/>
      <c r="P28" s="71"/>
      <c r="Q28" s="71"/>
      <c r="R28" s="71"/>
      <c r="S28" s="138"/>
      <c r="T28" s="138"/>
      <c r="U28" s="138"/>
      <c r="V28" s="138"/>
      <c r="W28" s="138"/>
      <c r="X28" s="138"/>
      <c r="Y28" s="138"/>
      <c r="Z28" s="138"/>
      <c r="AA28" s="138"/>
      <c r="AB28" s="138"/>
      <c r="AC28" s="138"/>
      <c r="AD28" s="138"/>
    </row>
    <row r="29" spans="1:30" x14ac:dyDescent="0.25">
      <c r="A29" s="106">
        <v>24</v>
      </c>
      <c r="C29" s="1" t="s">
        <v>19</v>
      </c>
      <c r="F29" s="71"/>
      <c r="G29" s="71"/>
      <c r="H29" s="71"/>
      <c r="I29" s="71"/>
      <c r="J29" s="71"/>
      <c r="K29" s="71"/>
      <c r="L29" s="71"/>
      <c r="M29" s="71"/>
      <c r="N29" s="71"/>
      <c r="O29" s="71"/>
      <c r="P29" s="71"/>
      <c r="Q29" s="71"/>
      <c r="R29" s="71"/>
      <c r="S29" s="138"/>
      <c r="T29" s="138"/>
      <c r="U29" s="138"/>
      <c r="V29" s="138"/>
      <c r="W29" s="138"/>
      <c r="X29" s="138"/>
      <c r="Y29" s="138"/>
      <c r="Z29" s="138"/>
      <c r="AA29" s="138"/>
      <c r="AB29" s="138"/>
      <c r="AC29" s="138"/>
      <c r="AD29" s="138"/>
    </row>
    <row r="30" spans="1:30" x14ac:dyDescent="0.25">
      <c r="A30" s="106">
        <v>25</v>
      </c>
      <c r="C30" s="1" t="s">
        <v>17</v>
      </c>
      <c r="S30" s="137"/>
      <c r="T30" s="137"/>
      <c r="U30" s="137"/>
      <c r="V30" s="137"/>
      <c r="W30" s="137"/>
      <c r="X30" s="137"/>
      <c r="Y30" s="137"/>
      <c r="Z30" s="137"/>
      <c r="AA30" s="137"/>
      <c r="AB30" s="137"/>
      <c r="AC30" s="137"/>
      <c r="AD30" s="137"/>
    </row>
    <row r="31" spans="1:30" s="5" customFormat="1" x14ac:dyDescent="0.25">
      <c r="A31" s="106">
        <v>26</v>
      </c>
      <c r="B31" s="18"/>
      <c r="C31" s="19" t="s">
        <v>138</v>
      </c>
      <c r="D31" s="18"/>
      <c r="E31" s="91"/>
      <c r="F31" s="84">
        <v>2708.33</v>
      </c>
      <c r="G31" s="84">
        <v>2708.33</v>
      </c>
      <c r="H31" s="84">
        <v>6895.83</v>
      </c>
      <c r="I31" s="84">
        <v>2708.33</v>
      </c>
      <c r="J31" s="84">
        <v>2708.33</v>
      </c>
      <c r="K31" s="84">
        <v>6945.83</v>
      </c>
      <c r="L31" s="84">
        <v>2848.33</v>
      </c>
      <c r="M31" s="84">
        <v>2708.33</v>
      </c>
      <c r="N31" s="84">
        <v>6895.83</v>
      </c>
      <c r="O31" s="84">
        <v>2708.33</v>
      </c>
      <c r="P31" s="84">
        <v>2708.33</v>
      </c>
      <c r="Q31" s="84">
        <v>0</v>
      </c>
      <c r="R31" s="73">
        <f>SUM(F31:Q31)</f>
        <v>42544.130000000012</v>
      </c>
      <c r="S31" s="143">
        <f>SUM(F31)</f>
        <v>2708.33</v>
      </c>
      <c r="T31" s="143">
        <f>SUM($F31:G31)</f>
        <v>5416.66</v>
      </c>
      <c r="U31" s="143">
        <f>SUM($F31:H31)</f>
        <v>12312.49</v>
      </c>
      <c r="V31" s="143">
        <f>SUM($F31:I31)</f>
        <v>15020.82</v>
      </c>
      <c r="W31" s="143">
        <f>SUM($F31:J31)</f>
        <v>17729.150000000001</v>
      </c>
      <c r="X31" s="143">
        <f>SUM($F31:K31)</f>
        <v>24674.980000000003</v>
      </c>
      <c r="Y31" s="143">
        <f>SUM($F31:L31)</f>
        <v>27523.310000000005</v>
      </c>
      <c r="Z31" s="143">
        <f>SUM($F31:M31)</f>
        <v>30231.640000000007</v>
      </c>
      <c r="AA31" s="143">
        <f>SUM($F31:N31)</f>
        <v>37127.470000000008</v>
      </c>
      <c r="AB31" s="143">
        <f>SUM($F31:O31)</f>
        <v>39835.80000000001</v>
      </c>
      <c r="AC31" s="143">
        <f>SUM($F31:P31)</f>
        <v>42544.130000000012</v>
      </c>
      <c r="AD31" s="143">
        <f>SUM($F31:Q31)</f>
        <v>42544.130000000012</v>
      </c>
    </row>
    <row r="32" spans="1:30"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c r="F35" s="71">
        <v>0</v>
      </c>
      <c r="G35" s="71">
        <v>99.33</v>
      </c>
      <c r="H35" s="71">
        <v>0</v>
      </c>
      <c r="I35" s="71">
        <v>0</v>
      </c>
      <c r="J35" s="71">
        <v>335.82</v>
      </c>
      <c r="K35" s="71">
        <v>431.46</v>
      </c>
      <c r="L35" s="71">
        <v>0</v>
      </c>
      <c r="M35" s="71">
        <v>1332.34</v>
      </c>
      <c r="N35" s="71">
        <v>812.51</v>
      </c>
      <c r="O35" s="71">
        <v>184.67</v>
      </c>
      <c r="P35" s="71">
        <v>340.46</v>
      </c>
      <c r="Q35" s="71">
        <v>0</v>
      </c>
      <c r="R35" s="79">
        <f t="shared" ref="R35:R40" si="10">SUM(F35:Q35)</f>
        <v>3536.59</v>
      </c>
      <c r="S35" s="139">
        <f t="shared" ref="S35:S40" si="11">SUM(F35)</f>
        <v>0</v>
      </c>
      <c r="T35" s="139">
        <f>SUM($F35:G35)</f>
        <v>99.33</v>
      </c>
      <c r="U35" s="139">
        <f>SUM($F35:H35)</f>
        <v>99.33</v>
      </c>
      <c r="V35" s="139">
        <f>SUM($F35:I35)</f>
        <v>99.33</v>
      </c>
      <c r="W35" s="139">
        <f>SUM($F35:J35)</f>
        <v>435.15</v>
      </c>
      <c r="X35" s="139">
        <f>SUM($F35:K35)</f>
        <v>866.6099999999999</v>
      </c>
      <c r="Y35" s="139">
        <f>SUM($F35:L35)</f>
        <v>866.6099999999999</v>
      </c>
      <c r="Z35" s="139">
        <f>SUM($F35:M35)</f>
        <v>2198.9499999999998</v>
      </c>
      <c r="AA35" s="139">
        <f>SUM($F35:N35)</f>
        <v>3011.46</v>
      </c>
      <c r="AB35" s="139">
        <f>SUM($F35:O35)</f>
        <v>3196.13</v>
      </c>
      <c r="AC35" s="139">
        <f>SUM($F35:P35)</f>
        <v>3536.59</v>
      </c>
      <c r="AD35" s="139">
        <f>SUM($F35:Q35)</f>
        <v>3536.59</v>
      </c>
    </row>
    <row r="36" spans="1:30" x14ac:dyDescent="0.25">
      <c r="A36" s="106">
        <v>31</v>
      </c>
      <c r="C36" s="1" t="s">
        <v>21</v>
      </c>
      <c r="E36" s="101"/>
      <c r="F36" s="71">
        <v>0</v>
      </c>
      <c r="G36" s="71">
        <v>0</v>
      </c>
      <c r="H36" s="71">
        <v>22.06</v>
      </c>
      <c r="I36" s="71">
        <v>0</v>
      </c>
      <c r="J36" s="71">
        <v>0</v>
      </c>
      <c r="K36" s="71">
        <v>0</v>
      </c>
      <c r="L36" s="71">
        <v>480</v>
      </c>
      <c r="M36" s="71">
        <v>129.1</v>
      </c>
      <c r="N36" s="71">
        <v>0</v>
      </c>
      <c r="O36" s="71">
        <v>216.51</v>
      </c>
      <c r="P36" s="71">
        <v>573.58000000000004</v>
      </c>
      <c r="Q36" s="71">
        <v>0</v>
      </c>
      <c r="R36" s="79">
        <f t="shared" si="10"/>
        <v>1421.25</v>
      </c>
      <c r="S36" s="139">
        <f t="shared" si="11"/>
        <v>0</v>
      </c>
      <c r="T36" s="139">
        <f>SUM($F36:G36)</f>
        <v>0</v>
      </c>
      <c r="U36" s="139">
        <f>SUM($F36:H36)</f>
        <v>22.06</v>
      </c>
      <c r="V36" s="139">
        <f>SUM($F36:I36)</f>
        <v>22.06</v>
      </c>
      <c r="W36" s="139">
        <f>SUM($F36:J36)</f>
        <v>22.06</v>
      </c>
      <c r="X36" s="139">
        <f>SUM($F36:K36)</f>
        <v>22.06</v>
      </c>
      <c r="Y36" s="139">
        <f>SUM($F36:L36)</f>
        <v>502.06</v>
      </c>
      <c r="Z36" s="139">
        <f>SUM($F36:M36)</f>
        <v>631.16</v>
      </c>
      <c r="AA36" s="139">
        <f>SUM($F36:N36)</f>
        <v>631.16</v>
      </c>
      <c r="AB36" s="139">
        <f>SUM($F36:O36)</f>
        <v>847.67</v>
      </c>
      <c r="AC36" s="139">
        <f>SUM($F36:P36)</f>
        <v>1421.25</v>
      </c>
      <c r="AD36" s="139">
        <f>SUM($F36:Q36)</f>
        <v>1421.25</v>
      </c>
    </row>
    <row r="37" spans="1:30" x14ac:dyDescent="0.25">
      <c r="A37" s="106">
        <v>32</v>
      </c>
      <c r="C37" s="1" t="s">
        <v>22</v>
      </c>
      <c r="E37" s="100"/>
      <c r="F37" s="71">
        <v>179.98</v>
      </c>
      <c r="G37" s="71">
        <v>45.96</v>
      </c>
      <c r="H37" s="71">
        <v>0</v>
      </c>
      <c r="I37" s="71">
        <v>0</v>
      </c>
      <c r="J37" s="71">
        <v>192.3</v>
      </c>
      <c r="K37" s="71">
        <v>0</v>
      </c>
      <c r="L37" s="71">
        <v>0</v>
      </c>
      <c r="M37" s="71">
        <v>0</v>
      </c>
      <c r="N37" s="71">
        <v>0</v>
      </c>
      <c r="O37" s="71">
        <v>0</v>
      </c>
      <c r="P37" s="71">
        <v>0</v>
      </c>
      <c r="Q37" s="71">
        <v>0</v>
      </c>
      <c r="R37" s="79">
        <f t="shared" si="10"/>
        <v>418.24</v>
      </c>
      <c r="S37" s="139">
        <f t="shared" si="11"/>
        <v>179.98</v>
      </c>
      <c r="T37" s="139">
        <f>SUM($F37:G37)</f>
        <v>225.94</v>
      </c>
      <c r="U37" s="139">
        <f>SUM($F37:H37)</f>
        <v>225.94</v>
      </c>
      <c r="V37" s="139">
        <f>SUM($F37:I37)</f>
        <v>225.94</v>
      </c>
      <c r="W37" s="139">
        <f>SUM($F37:J37)</f>
        <v>418.24</v>
      </c>
      <c r="X37" s="139">
        <f>SUM($F37:K37)</f>
        <v>418.24</v>
      </c>
      <c r="Y37" s="139">
        <f>SUM($F37:L37)</f>
        <v>418.24</v>
      </c>
      <c r="Z37" s="139">
        <f>SUM($F37:M37)</f>
        <v>418.24</v>
      </c>
      <c r="AA37" s="139">
        <f>SUM($F37:N37)</f>
        <v>418.24</v>
      </c>
      <c r="AB37" s="139">
        <f>SUM($F37:O37)</f>
        <v>418.24</v>
      </c>
      <c r="AC37" s="139">
        <f>SUM($F37:P37)</f>
        <v>418.24</v>
      </c>
      <c r="AD37" s="139">
        <f>SUM($F37:Q37)</f>
        <v>418.24</v>
      </c>
    </row>
    <row r="38" spans="1:30" x14ac:dyDescent="0.25">
      <c r="A38" s="106">
        <v>33</v>
      </c>
      <c r="C38" s="1" t="s">
        <v>23</v>
      </c>
      <c r="E38" s="101"/>
      <c r="F38" s="71">
        <v>0</v>
      </c>
      <c r="G38" s="71">
        <v>0</v>
      </c>
      <c r="H38" s="71">
        <v>0</v>
      </c>
      <c r="I38" s="71">
        <v>0</v>
      </c>
      <c r="J38" s="71">
        <v>0</v>
      </c>
      <c r="K38" s="71">
        <v>498.55</v>
      </c>
      <c r="L38" s="71">
        <v>0</v>
      </c>
      <c r="M38" s="71">
        <v>0</v>
      </c>
      <c r="N38" s="71">
        <v>0</v>
      </c>
      <c r="O38" s="71">
        <v>0</v>
      </c>
      <c r="P38" s="71">
        <v>0</v>
      </c>
      <c r="Q38" s="71">
        <v>0</v>
      </c>
      <c r="R38" s="79">
        <f t="shared" si="10"/>
        <v>498.55</v>
      </c>
      <c r="S38" s="139">
        <f t="shared" si="11"/>
        <v>0</v>
      </c>
      <c r="T38" s="139">
        <f>SUM($F38:G38)</f>
        <v>0</v>
      </c>
      <c r="U38" s="139">
        <f>SUM($F38:H38)</f>
        <v>0</v>
      </c>
      <c r="V38" s="139">
        <f>SUM($F38:I38)</f>
        <v>0</v>
      </c>
      <c r="W38" s="139">
        <f>SUM($F38:J38)</f>
        <v>0</v>
      </c>
      <c r="X38" s="139">
        <f>SUM($F38:K38)</f>
        <v>498.55</v>
      </c>
      <c r="Y38" s="139">
        <f>SUM($F38:L38)</f>
        <v>498.55</v>
      </c>
      <c r="Z38" s="139">
        <f>SUM($F38:M38)</f>
        <v>498.55</v>
      </c>
      <c r="AA38" s="139">
        <f>SUM($F38:N38)</f>
        <v>498.55</v>
      </c>
      <c r="AB38" s="139">
        <f>SUM($F38:O38)</f>
        <v>498.55</v>
      </c>
      <c r="AC38" s="139">
        <f>SUM($F38:P38)</f>
        <v>498.55</v>
      </c>
      <c r="AD38" s="139">
        <f>SUM($F38:Q38)</f>
        <v>498.55</v>
      </c>
    </row>
    <row r="39" spans="1:30" x14ac:dyDescent="0.25">
      <c r="A39" s="106">
        <v>34</v>
      </c>
      <c r="C39" s="1" t="s">
        <v>24</v>
      </c>
      <c r="E39" s="100"/>
      <c r="F39" s="71">
        <v>0</v>
      </c>
      <c r="G39" s="71">
        <v>0</v>
      </c>
      <c r="H39" s="71">
        <v>71.56</v>
      </c>
      <c r="I39" s="71">
        <v>106.01</v>
      </c>
      <c r="J39" s="71">
        <v>0</v>
      </c>
      <c r="K39" s="71">
        <v>0</v>
      </c>
      <c r="L39" s="71">
        <v>0</v>
      </c>
      <c r="M39" s="71">
        <v>54.95</v>
      </c>
      <c r="N39" s="71">
        <v>0</v>
      </c>
      <c r="O39" s="71">
        <v>0</v>
      </c>
      <c r="P39" s="71">
        <v>0</v>
      </c>
      <c r="Q39" s="71">
        <v>0</v>
      </c>
      <c r="R39" s="79">
        <f t="shared" si="10"/>
        <v>232.51999999999998</v>
      </c>
      <c r="S39" s="139">
        <f t="shared" si="11"/>
        <v>0</v>
      </c>
      <c r="T39" s="139">
        <f>SUM($F39:G39)</f>
        <v>0</v>
      </c>
      <c r="U39" s="139">
        <f>SUM($F39:H39)</f>
        <v>71.56</v>
      </c>
      <c r="V39" s="139">
        <f>SUM($F39:I39)</f>
        <v>177.57</v>
      </c>
      <c r="W39" s="139">
        <f>SUM($F39:J39)</f>
        <v>177.57</v>
      </c>
      <c r="X39" s="139">
        <f>SUM($F39:K39)</f>
        <v>177.57</v>
      </c>
      <c r="Y39" s="139">
        <f>SUM($F39:L39)</f>
        <v>177.57</v>
      </c>
      <c r="Z39" s="139">
        <f>SUM($F39:M39)</f>
        <v>232.51999999999998</v>
      </c>
      <c r="AA39" s="139">
        <f>SUM($F39:N39)</f>
        <v>232.51999999999998</v>
      </c>
      <c r="AB39" s="139">
        <f>SUM($F39:O39)</f>
        <v>232.51999999999998</v>
      </c>
      <c r="AC39" s="139">
        <f>SUM($F39:P39)</f>
        <v>232.51999999999998</v>
      </c>
      <c r="AD39" s="139">
        <f>SUM($F39:Q39)</f>
        <v>232.51999999999998</v>
      </c>
    </row>
    <row r="40" spans="1:30" x14ac:dyDescent="0.25">
      <c r="A40" s="106">
        <v>35</v>
      </c>
      <c r="C40" s="1" t="s">
        <v>124</v>
      </c>
      <c r="E40" s="101"/>
      <c r="F40" s="71">
        <v>0</v>
      </c>
      <c r="G40" s="71">
        <v>0</v>
      </c>
      <c r="H40" s="71">
        <v>0</v>
      </c>
      <c r="I40" s="71">
        <v>0</v>
      </c>
      <c r="J40" s="71">
        <v>0</v>
      </c>
      <c r="K40" s="71">
        <v>0</v>
      </c>
      <c r="L40" s="71">
        <v>0</v>
      </c>
      <c r="M40" s="71">
        <v>0</v>
      </c>
      <c r="N40" s="71">
        <v>0</v>
      </c>
      <c r="O40" s="71">
        <v>0</v>
      </c>
      <c r="P40" s="71">
        <v>465.07</v>
      </c>
      <c r="Q40" s="71">
        <v>0</v>
      </c>
      <c r="R40" s="79">
        <f t="shared" si="10"/>
        <v>465.07</v>
      </c>
      <c r="S40" s="139">
        <f t="shared" si="11"/>
        <v>0</v>
      </c>
      <c r="T40" s="139">
        <f>SUM($F40:G40)</f>
        <v>0</v>
      </c>
      <c r="U40" s="139">
        <f>SUM($F40:H40)</f>
        <v>0</v>
      </c>
      <c r="V40" s="139">
        <f>SUM($F40:I40)</f>
        <v>0</v>
      </c>
      <c r="W40" s="139">
        <f>SUM($F40:J40)</f>
        <v>0</v>
      </c>
      <c r="X40" s="139">
        <f>SUM($F40:K40)</f>
        <v>0</v>
      </c>
      <c r="Y40" s="139">
        <f>SUM($F40:L40)</f>
        <v>0</v>
      </c>
      <c r="Z40" s="139">
        <f>SUM($F40:M40)</f>
        <v>0</v>
      </c>
      <c r="AA40" s="139">
        <f>SUM($F40:N40)</f>
        <v>0</v>
      </c>
      <c r="AB40" s="139">
        <f>SUM($F40:O40)</f>
        <v>0</v>
      </c>
      <c r="AC40" s="139">
        <f>SUM($F40:P40)</f>
        <v>465.07</v>
      </c>
      <c r="AD40" s="139">
        <f>SUM($F40:Q40)</f>
        <v>465.07</v>
      </c>
    </row>
    <row r="41" spans="1:30" s="5" customFormat="1" x14ac:dyDescent="0.25">
      <c r="A41" s="106">
        <v>36</v>
      </c>
      <c r="B41" s="51" t="s">
        <v>25</v>
      </c>
      <c r="C41" s="51"/>
      <c r="D41" s="51"/>
      <c r="E41" s="93"/>
      <c r="F41" s="75">
        <f t="shared" ref="F41:Q41" si="12">SUM(F35:F40)</f>
        <v>179.98</v>
      </c>
      <c r="G41" s="75">
        <f t="shared" si="12"/>
        <v>145.29</v>
      </c>
      <c r="H41" s="75">
        <f t="shared" si="12"/>
        <v>93.62</v>
      </c>
      <c r="I41" s="75">
        <f t="shared" si="12"/>
        <v>106.01</v>
      </c>
      <c r="J41" s="75">
        <f t="shared" si="12"/>
        <v>528.12</v>
      </c>
      <c r="K41" s="75">
        <f t="shared" si="12"/>
        <v>930.01</v>
      </c>
      <c r="L41" s="75">
        <f t="shared" si="12"/>
        <v>480</v>
      </c>
      <c r="M41" s="75">
        <f t="shared" si="12"/>
        <v>1516.3899999999999</v>
      </c>
      <c r="N41" s="75">
        <f t="shared" si="12"/>
        <v>812.51</v>
      </c>
      <c r="O41" s="75">
        <f t="shared" si="12"/>
        <v>401.17999999999995</v>
      </c>
      <c r="P41" s="75">
        <f t="shared" si="12"/>
        <v>1379.11</v>
      </c>
      <c r="Q41" s="75">
        <f t="shared" si="12"/>
        <v>0</v>
      </c>
      <c r="R41" s="75">
        <f>SUM(R35:R40)</f>
        <v>6572.2199999999993</v>
      </c>
      <c r="S41" s="145">
        <f t="shared" ref="S41:AD41" si="13">SUM(S35:S40)</f>
        <v>179.98</v>
      </c>
      <c r="T41" s="145">
        <f t="shared" si="13"/>
        <v>325.27</v>
      </c>
      <c r="U41" s="145">
        <f t="shared" si="13"/>
        <v>418.89</v>
      </c>
      <c r="V41" s="145">
        <f t="shared" si="13"/>
        <v>524.9</v>
      </c>
      <c r="W41" s="145">
        <f t="shared" si="13"/>
        <v>1053.02</v>
      </c>
      <c r="X41" s="145">
        <f t="shared" si="13"/>
        <v>1983.0299999999997</v>
      </c>
      <c r="Y41" s="145">
        <f t="shared" si="13"/>
        <v>2463.0300000000002</v>
      </c>
      <c r="Z41" s="145">
        <f t="shared" si="13"/>
        <v>3979.4199999999996</v>
      </c>
      <c r="AA41" s="145">
        <f t="shared" si="13"/>
        <v>4791.93</v>
      </c>
      <c r="AB41" s="145">
        <f t="shared" si="13"/>
        <v>5193.1100000000006</v>
      </c>
      <c r="AC41" s="145">
        <f t="shared" si="13"/>
        <v>6572.2199999999993</v>
      </c>
      <c r="AD41" s="145">
        <f t="shared" si="13"/>
        <v>6572.2199999999993</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c r="F43" s="77">
        <v>174.93</v>
      </c>
      <c r="G43" s="77">
        <v>0</v>
      </c>
      <c r="H43" s="77">
        <v>-53.06</v>
      </c>
      <c r="I43" s="77">
        <v>337.33</v>
      </c>
      <c r="J43" s="77">
        <v>76.97</v>
      </c>
      <c r="K43" s="77">
        <v>53.27</v>
      </c>
      <c r="L43" s="77">
        <v>39</v>
      </c>
      <c r="M43" s="77">
        <v>0</v>
      </c>
      <c r="N43" s="77">
        <v>225.89</v>
      </c>
      <c r="O43" s="77">
        <v>43.95</v>
      </c>
      <c r="P43" s="77">
        <v>225.39</v>
      </c>
      <c r="Q43" s="77">
        <v>0</v>
      </c>
      <c r="R43" s="86">
        <f>SUM(F43:Q43)</f>
        <v>1123.67</v>
      </c>
      <c r="S43" s="147">
        <f t="shared" ref="S43" si="14">SUM(F43)</f>
        <v>174.93</v>
      </c>
      <c r="T43" s="147">
        <f>SUM($F43:G43)</f>
        <v>174.93</v>
      </c>
      <c r="U43" s="147">
        <f>SUM($F43:H43)</f>
        <v>121.87</v>
      </c>
      <c r="V43" s="147">
        <f>SUM($F43:I43)</f>
        <v>459.2</v>
      </c>
      <c r="W43" s="147">
        <f>SUM($F43:J43)</f>
        <v>536.16999999999996</v>
      </c>
      <c r="X43" s="147">
        <f>SUM($F43:K43)</f>
        <v>589.43999999999994</v>
      </c>
      <c r="Y43" s="147">
        <f>SUM($F43:L43)</f>
        <v>628.43999999999994</v>
      </c>
      <c r="Z43" s="147">
        <f>SUM($F43:M43)</f>
        <v>628.43999999999994</v>
      </c>
      <c r="AA43" s="147">
        <f>SUM($F43:N43)</f>
        <v>854.32999999999993</v>
      </c>
      <c r="AB43" s="147">
        <f>SUM($F43:O43)</f>
        <v>898.28</v>
      </c>
      <c r="AC43" s="147">
        <f>SUM($F43:P43)</f>
        <v>1123.67</v>
      </c>
      <c r="AD43" s="147">
        <f>SUM($F43:Q43)</f>
        <v>1123.67</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c r="F46" s="71">
        <v>402.1</v>
      </c>
      <c r="G46" s="71">
        <v>194.67</v>
      </c>
      <c r="H46" s="71">
        <v>412.2</v>
      </c>
      <c r="I46" s="71">
        <v>778.6</v>
      </c>
      <c r="J46" s="71">
        <v>456.8</v>
      </c>
      <c r="K46" s="71">
        <v>332.2</v>
      </c>
      <c r="L46" s="71">
        <v>616.41</v>
      </c>
      <c r="M46" s="71">
        <v>45.24</v>
      </c>
      <c r="N46" s="71">
        <v>332.2</v>
      </c>
      <c r="O46" s="71">
        <v>706.43</v>
      </c>
      <c r="P46" s="71">
        <v>584.79</v>
      </c>
      <c r="Q46" s="71">
        <v>0</v>
      </c>
      <c r="R46" s="79">
        <f t="shared" ref="R46:R49" si="15">SUM(F46:Q46)</f>
        <v>4861.6399999999994</v>
      </c>
      <c r="S46" s="139">
        <f t="shared" ref="S46:S49" si="16">SUM(F46)</f>
        <v>402.1</v>
      </c>
      <c r="T46" s="139">
        <f>SUM($F46:G46)</f>
        <v>596.77</v>
      </c>
      <c r="U46" s="139">
        <f>SUM($F46:H46)</f>
        <v>1008.97</v>
      </c>
      <c r="V46" s="139">
        <f>SUM($F46:I46)</f>
        <v>1787.5700000000002</v>
      </c>
      <c r="W46" s="139">
        <f>SUM($F46:J46)</f>
        <v>2244.3700000000003</v>
      </c>
      <c r="X46" s="139">
        <f>SUM($F46:K46)</f>
        <v>2576.5700000000002</v>
      </c>
      <c r="Y46" s="139">
        <f>SUM($F46:L46)</f>
        <v>3192.98</v>
      </c>
      <c r="Z46" s="139">
        <f>SUM($F46:M46)</f>
        <v>3238.22</v>
      </c>
      <c r="AA46" s="139">
        <f>SUM($F46:N46)</f>
        <v>3570.4199999999996</v>
      </c>
      <c r="AB46" s="139">
        <f>SUM($F46:O46)</f>
        <v>4276.8499999999995</v>
      </c>
      <c r="AC46" s="139">
        <f>SUM($F46:P46)</f>
        <v>4861.6399999999994</v>
      </c>
      <c r="AD46" s="139">
        <f>SUM($F46:Q46)</f>
        <v>4861.6399999999994</v>
      </c>
    </row>
    <row r="47" spans="1:30" x14ac:dyDescent="0.25">
      <c r="A47" s="106">
        <v>42</v>
      </c>
      <c r="C47" s="1" t="s">
        <v>203</v>
      </c>
      <c r="E47" s="101"/>
      <c r="F47" s="71">
        <v>200</v>
      </c>
      <c r="G47" s="71">
        <v>200</v>
      </c>
      <c r="H47" s="71">
        <f>150+47.27</f>
        <v>197.27</v>
      </c>
      <c r="I47" s="71">
        <v>100</v>
      </c>
      <c r="J47" s="71">
        <f>250+75.09</f>
        <v>325.09000000000003</v>
      </c>
      <c r="K47" s="71">
        <v>150</v>
      </c>
      <c r="L47" s="71">
        <v>200</v>
      </c>
      <c r="M47" s="71">
        <v>150</v>
      </c>
      <c r="N47" s="71">
        <v>200</v>
      </c>
      <c r="O47" s="71">
        <v>250</v>
      </c>
      <c r="P47" s="71">
        <v>200</v>
      </c>
      <c r="Q47" s="71">
        <v>0</v>
      </c>
      <c r="R47" s="79">
        <f t="shared" si="15"/>
        <v>2172.36</v>
      </c>
      <c r="S47" s="139">
        <f t="shared" si="16"/>
        <v>200</v>
      </c>
      <c r="T47" s="139">
        <f>SUM($F47:G47)</f>
        <v>400</v>
      </c>
      <c r="U47" s="139">
        <f>SUM($F47:H47)</f>
        <v>597.27</v>
      </c>
      <c r="V47" s="139">
        <f>SUM($F47:I47)</f>
        <v>697.27</v>
      </c>
      <c r="W47" s="139">
        <f>SUM($F47:J47)</f>
        <v>1022.36</v>
      </c>
      <c r="X47" s="139">
        <f>SUM($F47:K47)</f>
        <v>1172.3600000000001</v>
      </c>
      <c r="Y47" s="139">
        <f>SUM($F47:L47)</f>
        <v>1372.3600000000001</v>
      </c>
      <c r="Z47" s="139">
        <f>SUM($F47:M47)</f>
        <v>1522.3600000000001</v>
      </c>
      <c r="AA47" s="139">
        <f>SUM($F47:N47)</f>
        <v>1722.3600000000001</v>
      </c>
      <c r="AB47" s="139">
        <f>SUM($F47:O47)</f>
        <v>1972.3600000000001</v>
      </c>
      <c r="AC47" s="139">
        <f>SUM($F47:P47)</f>
        <v>2172.36</v>
      </c>
      <c r="AD47" s="139">
        <f>SUM($F47:Q47)</f>
        <v>2172.36</v>
      </c>
    </row>
    <row r="48" spans="1:30" x14ac:dyDescent="0.25">
      <c r="A48" s="106">
        <v>43</v>
      </c>
      <c r="C48" s="1" t="s">
        <v>31</v>
      </c>
      <c r="E48" s="101"/>
      <c r="F48" s="71">
        <v>477.75</v>
      </c>
      <c r="G48" s="71">
        <v>0</v>
      </c>
      <c r="H48" s="71">
        <v>31.49</v>
      </c>
      <c r="I48" s="71">
        <v>21</v>
      </c>
      <c r="J48" s="71">
        <v>0</v>
      </c>
      <c r="K48" s="71">
        <v>0</v>
      </c>
      <c r="L48" s="71">
        <v>14.36</v>
      </c>
      <c r="M48" s="71">
        <v>227.51</v>
      </c>
      <c r="N48" s="71">
        <v>0</v>
      </c>
      <c r="O48" s="71">
        <v>172.97</v>
      </c>
      <c r="P48" s="71">
        <v>50</v>
      </c>
      <c r="Q48" s="71">
        <v>0</v>
      </c>
      <c r="R48" s="79">
        <f t="shared" si="15"/>
        <v>995.08</v>
      </c>
      <c r="S48" s="139">
        <f t="shared" si="16"/>
        <v>477.75</v>
      </c>
      <c r="T48" s="139">
        <f>SUM($F48:G48)</f>
        <v>477.75</v>
      </c>
      <c r="U48" s="139">
        <f>SUM($F48:H48)</f>
        <v>509.24</v>
      </c>
      <c r="V48" s="139">
        <f>SUM($F48:I48)</f>
        <v>530.24</v>
      </c>
      <c r="W48" s="139">
        <f>SUM($F48:J48)</f>
        <v>530.24</v>
      </c>
      <c r="X48" s="139">
        <f>SUM($F48:K48)</f>
        <v>530.24</v>
      </c>
      <c r="Y48" s="139">
        <f>SUM($F48:L48)</f>
        <v>544.6</v>
      </c>
      <c r="Z48" s="139">
        <f>SUM($F48:M48)</f>
        <v>772.11</v>
      </c>
      <c r="AA48" s="139">
        <f>SUM($F48:N48)</f>
        <v>772.11</v>
      </c>
      <c r="AB48" s="139">
        <f>SUM($F48:O48)</f>
        <v>945.08</v>
      </c>
      <c r="AC48" s="139">
        <f>SUM($F48:P48)</f>
        <v>995.08</v>
      </c>
      <c r="AD48" s="139">
        <f>SUM($F48:Q48)</f>
        <v>995.08</v>
      </c>
    </row>
    <row r="49" spans="1:30" x14ac:dyDescent="0.25">
      <c r="A49" s="106">
        <v>44</v>
      </c>
      <c r="C49" s="1" t="s">
        <v>32</v>
      </c>
      <c r="E49" s="101"/>
      <c r="F49" s="71">
        <v>-112</v>
      </c>
      <c r="G49" s="71">
        <v>323.39999999999998</v>
      </c>
      <c r="H49" s="71">
        <v>-84</v>
      </c>
      <c r="I49" s="71">
        <v>-86.33</v>
      </c>
      <c r="J49" s="71">
        <v>287</v>
      </c>
      <c r="K49" s="71">
        <v>32.5</v>
      </c>
      <c r="L49" s="71">
        <v>10.5</v>
      </c>
      <c r="M49" s="71">
        <v>-56</v>
      </c>
      <c r="N49" s="71">
        <v>124</v>
      </c>
      <c r="O49" s="71">
        <v>-323.5</v>
      </c>
      <c r="P49" s="71">
        <v>110</v>
      </c>
      <c r="Q49" s="71">
        <v>0</v>
      </c>
      <c r="R49" s="79">
        <f t="shared" si="15"/>
        <v>225.57</v>
      </c>
      <c r="S49" s="139">
        <f t="shared" si="16"/>
        <v>-112</v>
      </c>
      <c r="T49" s="139">
        <f>SUM($F49:G49)</f>
        <v>211.39999999999998</v>
      </c>
      <c r="U49" s="139">
        <f>SUM($F49:H49)</f>
        <v>127.39999999999998</v>
      </c>
      <c r="V49" s="139">
        <f>SUM($F49:I49)</f>
        <v>41.069999999999979</v>
      </c>
      <c r="W49" s="139">
        <f>SUM($F49:J49)</f>
        <v>328.07</v>
      </c>
      <c r="X49" s="139">
        <f>SUM($F49:K49)</f>
        <v>360.57</v>
      </c>
      <c r="Y49" s="139">
        <f>SUM($F49:L49)</f>
        <v>371.07</v>
      </c>
      <c r="Z49" s="139">
        <f>SUM($F49:M49)</f>
        <v>315.07</v>
      </c>
      <c r="AA49" s="139">
        <f>SUM($F49:N49)</f>
        <v>439.07</v>
      </c>
      <c r="AB49" s="139">
        <f>SUM($F49:O49)</f>
        <v>115.57</v>
      </c>
      <c r="AC49" s="139">
        <f>SUM($F49:P49)</f>
        <v>225.57</v>
      </c>
      <c r="AD49" s="139">
        <f>SUM($F49:Q49)</f>
        <v>225.57</v>
      </c>
    </row>
    <row r="50" spans="1:30" s="5" customFormat="1" x14ac:dyDescent="0.25">
      <c r="A50" s="106">
        <v>45</v>
      </c>
      <c r="B50" s="51" t="s">
        <v>28</v>
      </c>
      <c r="C50" s="51"/>
      <c r="D50" s="51"/>
      <c r="E50" s="93"/>
      <c r="F50" s="75">
        <f t="shared" ref="F50:Q50" si="17">SUM(F46:F49)</f>
        <v>967.84999999999991</v>
      </c>
      <c r="G50" s="75">
        <f t="shared" si="17"/>
        <v>718.06999999999994</v>
      </c>
      <c r="H50" s="75">
        <f t="shared" si="17"/>
        <v>556.96</v>
      </c>
      <c r="I50" s="75">
        <f t="shared" si="17"/>
        <v>813.27</v>
      </c>
      <c r="J50" s="75">
        <f t="shared" si="17"/>
        <v>1068.8900000000001</v>
      </c>
      <c r="K50" s="75">
        <f t="shared" si="17"/>
        <v>514.70000000000005</v>
      </c>
      <c r="L50" s="75">
        <f t="shared" si="17"/>
        <v>841.27</v>
      </c>
      <c r="M50" s="75">
        <f t="shared" si="17"/>
        <v>366.75</v>
      </c>
      <c r="N50" s="75">
        <f t="shared" si="17"/>
        <v>656.2</v>
      </c>
      <c r="O50" s="75">
        <f t="shared" si="17"/>
        <v>805.89999999999986</v>
      </c>
      <c r="P50" s="75">
        <f t="shared" si="17"/>
        <v>944.79</v>
      </c>
      <c r="Q50" s="75">
        <f t="shared" si="17"/>
        <v>0</v>
      </c>
      <c r="R50" s="75">
        <f>SUM(R46:R49)</f>
        <v>8254.65</v>
      </c>
      <c r="S50" s="145">
        <f t="shared" ref="S50:AD50" si="18">SUM(S46:S49)</f>
        <v>967.84999999999991</v>
      </c>
      <c r="T50" s="145">
        <f t="shared" si="18"/>
        <v>1685.92</v>
      </c>
      <c r="U50" s="145">
        <f t="shared" si="18"/>
        <v>2242.88</v>
      </c>
      <c r="V50" s="145">
        <f t="shared" si="18"/>
        <v>3056.15</v>
      </c>
      <c r="W50" s="145">
        <f t="shared" si="18"/>
        <v>4125.04</v>
      </c>
      <c r="X50" s="145">
        <f t="shared" si="18"/>
        <v>4639.74</v>
      </c>
      <c r="Y50" s="145">
        <f t="shared" si="18"/>
        <v>5481.01</v>
      </c>
      <c r="Z50" s="145">
        <f t="shared" si="18"/>
        <v>5847.7599999999993</v>
      </c>
      <c r="AA50" s="145">
        <f t="shared" si="18"/>
        <v>6503.9599999999991</v>
      </c>
      <c r="AB50" s="145">
        <f t="shared" si="18"/>
        <v>7309.8599999999988</v>
      </c>
      <c r="AC50" s="145">
        <f t="shared" si="18"/>
        <v>8254.65</v>
      </c>
      <c r="AD50" s="145">
        <f t="shared" si="18"/>
        <v>8254.65</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c r="F53" s="71">
        <v>0</v>
      </c>
      <c r="G53" s="71">
        <v>384.1</v>
      </c>
      <c r="H53" s="71">
        <v>148.15</v>
      </c>
      <c r="I53" s="71">
        <v>934.98</v>
      </c>
      <c r="J53" s="71">
        <v>437.37</v>
      </c>
      <c r="K53" s="71">
        <v>650.08000000000004</v>
      </c>
      <c r="L53" s="71">
        <v>50</v>
      </c>
      <c r="M53" s="71">
        <v>0</v>
      </c>
      <c r="N53" s="71">
        <v>0</v>
      </c>
      <c r="O53" s="71">
        <v>749.53</v>
      </c>
      <c r="P53" s="71">
        <v>601.91</v>
      </c>
      <c r="Q53" s="71">
        <v>0</v>
      </c>
      <c r="R53" s="79">
        <f t="shared" ref="R53:R55" si="19">SUM(F53:Q53)</f>
        <v>3956.12</v>
      </c>
      <c r="S53" s="139">
        <f t="shared" ref="S53:S55" si="20">SUM(F53)</f>
        <v>0</v>
      </c>
      <c r="T53" s="139">
        <f>SUM($F53:G53)</f>
        <v>384.1</v>
      </c>
      <c r="U53" s="139">
        <f>SUM($F53:H53)</f>
        <v>532.25</v>
      </c>
      <c r="V53" s="139">
        <f>SUM($F53:I53)</f>
        <v>1467.23</v>
      </c>
      <c r="W53" s="139">
        <f>SUM($F53:J53)</f>
        <v>1904.6</v>
      </c>
      <c r="X53" s="139">
        <f>SUM($F53:K53)</f>
        <v>2554.6799999999998</v>
      </c>
      <c r="Y53" s="139">
        <f>SUM($F53:L53)</f>
        <v>2604.6799999999998</v>
      </c>
      <c r="Z53" s="139">
        <f>SUM($F53:M53)</f>
        <v>2604.6799999999998</v>
      </c>
      <c r="AA53" s="139">
        <f>SUM($F53:N53)</f>
        <v>2604.6799999999998</v>
      </c>
      <c r="AB53" s="139">
        <f>SUM($F53:O53)</f>
        <v>3354.21</v>
      </c>
      <c r="AC53" s="139">
        <f>SUM($F53:P53)</f>
        <v>3956.12</v>
      </c>
      <c r="AD53" s="139">
        <f>SUM($F53:Q53)</f>
        <v>3956.12</v>
      </c>
    </row>
    <row r="54" spans="1:30" x14ac:dyDescent="0.25">
      <c r="A54" s="106">
        <v>49</v>
      </c>
      <c r="C54" s="1" t="s">
        <v>143</v>
      </c>
      <c r="E54" s="101"/>
      <c r="F54" s="71">
        <v>0</v>
      </c>
      <c r="G54" s="71">
        <v>0</v>
      </c>
      <c r="H54" s="71">
        <v>0</v>
      </c>
      <c r="I54" s="71">
        <v>0</v>
      </c>
      <c r="J54" s="71">
        <v>0</v>
      </c>
      <c r="K54" s="71">
        <v>0</v>
      </c>
      <c r="L54" s="71">
        <v>0</v>
      </c>
      <c r="M54" s="71">
        <v>0</v>
      </c>
      <c r="N54" s="71">
        <v>0</v>
      </c>
      <c r="O54" s="71">
        <v>0</v>
      </c>
      <c r="P54" s="71">
        <v>0</v>
      </c>
      <c r="Q54" s="71">
        <v>0</v>
      </c>
      <c r="R54" s="79">
        <f t="shared" si="19"/>
        <v>0</v>
      </c>
      <c r="S54" s="139">
        <f t="shared" si="2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c r="F55" s="71">
        <v>0</v>
      </c>
      <c r="G55" s="71">
        <v>0</v>
      </c>
      <c r="H55" s="71">
        <v>0</v>
      </c>
      <c r="I55" s="71">
        <v>0</v>
      </c>
      <c r="J55" s="71">
        <v>0</v>
      </c>
      <c r="K55" s="71">
        <v>0</v>
      </c>
      <c r="L55" s="71">
        <v>0</v>
      </c>
      <c r="M55" s="71">
        <v>0</v>
      </c>
      <c r="N55" s="71">
        <v>0</v>
      </c>
      <c r="O55" s="71">
        <v>0</v>
      </c>
      <c r="P55" s="71">
        <v>0</v>
      </c>
      <c r="Q55" s="71">
        <v>0</v>
      </c>
      <c r="R55" s="79">
        <f t="shared" si="19"/>
        <v>0</v>
      </c>
      <c r="S55" s="139">
        <f t="shared" si="2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21">SUM(F53:F55)</f>
        <v>0</v>
      </c>
      <c r="G56" s="75">
        <f t="shared" si="21"/>
        <v>384.1</v>
      </c>
      <c r="H56" s="75">
        <f t="shared" si="21"/>
        <v>148.15</v>
      </c>
      <c r="I56" s="75">
        <f t="shared" si="21"/>
        <v>934.98</v>
      </c>
      <c r="J56" s="75">
        <f t="shared" si="21"/>
        <v>437.37</v>
      </c>
      <c r="K56" s="75">
        <f t="shared" si="21"/>
        <v>650.08000000000004</v>
      </c>
      <c r="L56" s="75">
        <f t="shared" si="21"/>
        <v>50</v>
      </c>
      <c r="M56" s="75">
        <f t="shared" si="21"/>
        <v>0</v>
      </c>
      <c r="N56" s="75">
        <f t="shared" si="21"/>
        <v>0</v>
      </c>
      <c r="O56" s="75">
        <f t="shared" si="21"/>
        <v>749.53</v>
      </c>
      <c r="P56" s="75">
        <f t="shared" si="21"/>
        <v>601.91</v>
      </c>
      <c r="Q56" s="75">
        <f t="shared" si="21"/>
        <v>0</v>
      </c>
      <c r="R56" s="75">
        <f>SUM(R53:R55)</f>
        <v>3956.12</v>
      </c>
      <c r="S56" s="145">
        <f t="shared" ref="S56:AD56" si="22">SUM(S53:S55)</f>
        <v>0</v>
      </c>
      <c r="T56" s="145">
        <f t="shared" si="22"/>
        <v>384.1</v>
      </c>
      <c r="U56" s="145">
        <f t="shared" si="22"/>
        <v>532.25</v>
      </c>
      <c r="V56" s="145">
        <f t="shared" si="22"/>
        <v>1467.23</v>
      </c>
      <c r="W56" s="145">
        <f t="shared" si="22"/>
        <v>1904.6</v>
      </c>
      <c r="X56" s="145">
        <f t="shared" si="22"/>
        <v>2554.6799999999998</v>
      </c>
      <c r="Y56" s="145">
        <f t="shared" si="22"/>
        <v>2604.6799999999998</v>
      </c>
      <c r="Z56" s="145">
        <f t="shared" si="22"/>
        <v>2604.6799999999998</v>
      </c>
      <c r="AA56" s="145">
        <f t="shared" si="22"/>
        <v>2604.6799999999998</v>
      </c>
      <c r="AB56" s="145">
        <f t="shared" si="22"/>
        <v>3354.21</v>
      </c>
      <c r="AC56" s="145">
        <f t="shared" si="22"/>
        <v>3956.12</v>
      </c>
      <c r="AD56" s="145">
        <f t="shared" si="22"/>
        <v>3956.12</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c r="F59" s="71">
        <v>0</v>
      </c>
      <c r="G59" s="71">
        <v>0</v>
      </c>
      <c r="H59" s="71">
        <v>-603.03</v>
      </c>
      <c r="I59" s="71">
        <v>241.91</v>
      </c>
      <c r="J59" s="71">
        <v>0</v>
      </c>
      <c r="K59" s="71">
        <v>886.05</v>
      </c>
      <c r="L59" s="71">
        <v>0</v>
      </c>
      <c r="M59" s="71">
        <v>0</v>
      </c>
      <c r="N59" s="71">
        <v>0</v>
      </c>
      <c r="O59" s="71">
        <v>0</v>
      </c>
      <c r="P59" s="71">
        <v>0</v>
      </c>
      <c r="Q59" s="71">
        <v>0</v>
      </c>
      <c r="R59" s="79">
        <f t="shared" ref="R59:R60" si="23">SUM(F59:Q59)</f>
        <v>524.92999999999995</v>
      </c>
      <c r="S59" s="139">
        <f t="shared" ref="S59:S60" si="24">SUM(F59)</f>
        <v>0</v>
      </c>
      <c r="T59" s="139">
        <f>SUM($F59:G59)</f>
        <v>0</v>
      </c>
      <c r="U59" s="139">
        <f>SUM($F59:H59)</f>
        <v>-603.03</v>
      </c>
      <c r="V59" s="139">
        <f>SUM($F59:I59)</f>
        <v>-361.12</v>
      </c>
      <c r="W59" s="139">
        <f>SUM($F59:J59)</f>
        <v>-361.12</v>
      </c>
      <c r="X59" s="139">
        <f>SUM($F59:K59)</f>
        <v>524.92999999999995</v>
      </c>
      <c r="Y59" s="139">
        <f>SUM($F59:L59)</f>
        <v>524.92999999999995</v>
      </c>
      <c r="Z59" s="139">
        <f>SUM($F59:M59)</f>
        <v>524.92999999999995</v>
      </c>
      <c r="AA59" s="139">
        <f>SUM($F59:N59)</f>
        <v>524.92999999999995</v>
      </c>
      <c r="AB59" s="139">
        <f>SUM($F59:O59)</f>
        <v>524.92999999999995</v>
      </c>
      <c r="AC59" s="139">
        <f>SUM($F59:P59)</f>
        <v>524.92999999999995</v>
      </c>
      <c r="AD59" s="139">
        <f>SUM($F59:Q59)</f>
        <v>524.92999999999995</v>
      </c>
    </row>
    <row r="60" spans="1:30" x14ac:dyDescent="0.25">
      <c r="A60" s="106">
        <v>55</v>
      </c>
      <c r="C60" s="1" t="s">
        <v>128</v>
      </c>
      <c r="E60" s="101"/>
      <c r="F60" s="71">
        <v>92.55</v>
      </c>
      <c r="G60" s="71">
        <v>6.89</v>
      </c>
      <c r="H60" s="71">
        <v>-25</v>
      </c>
      <c r="I60" s="71">
        <v>43.4</v>
      </c>
      <c r="J60" s="71">
        <v>67.95</v>
      </c>
      <c r="K60" s="71">
        <v>0</v>
      </c>
      <c r="L60" s="71">
        <v>41.94</v>
      </c>
      <c r="M60" s="71">
        <v>0</v>
      </c>
      <c r="N60" s="71">
        <v>50.89</v>
      </c>
      <c r="O60" s="71">
        <v>-50</v>
      </c>
      <c r="P60" s="71">
        <v>-35.5</v>
      </c>
      <c r="Q60" s="71">
        <v>0</v>
      </c>
      <c r="R60" s="79">
        <f t="shared" si="23"/>
        <v>193.12</v>
      </c>
      <c r="S60" s="139">
        <f t="shared" si="24"/>
        <v>92.55</v>
      </c>
      <c r="T60" s="139">
        <f>SUM($F60:G60)</f>
        <v>99.44</v>
      </c>
      <c r="U60" s="139">
        <f>SUM($F60:H60)</f>
        <v>74.44</v>
      </c>
      <c r="V60" s="139">
        <f>SUM($F60:I60)</f>
        <v>117.84</v>
      </c>
      <c r="W60" s="139">
        <f>SUM($F60:J60)</f>
        <v>185.79000000000002</v>
      </c>
      <c r="X60" s="139">
        <f>SUM($F60:K60)</f>
        <v>185.79000000000002</v>
      </c>
      <c r="Y60" s="139">
        <f>SUM($F60:L60)</f>
        <v>227.73000000000002</v>
      </c>
      <c r="Z60" s="139">
        <f>SUM($F60:M60)</f>
        <v>227.73000000000002</v>
      </c>
      <c r="AA60" s="139">
        <f>SUM($F60:N60)</f>
        <v>278.62</v>
      </c>
      <c r="AB60" s="139">
        <f>SUM($F60:O60)</f>
        <v>228.62</v>
      </c>
      <c r="AC60" s="139">
        <f>SUM($F60:P60)</f>
        <v>193.12</v>
      </c>
      <c r="AD60" s="139">
        <f>SUM($F60:Q60)</f>
        <v>193.12</v>
      </c>
    </row>
    <row r="61" spans="1:30" s="5" customFormat="1" x14ac:dyDescent="0.25">
      <c r="A61" s="106">
        <v>56</v>
      </c>
      <c r="B61" s="51" t="s">
        <v>127</v>
      </c>
      <c r="C61" s="51"/>
      <c r="D61" s="51"/>
      <c r="E61" s="93"/>
      <c r="F61" s="75">
        <f t="shared" ref="F61:Q61" si="25">SUM(F59:F60)</f>
        <v>92.55</v>
      </c>
      <c r="G61" s="75">
        <f t="shared" si="25"/>
        <v>6.89</v>
      </c>
      <c r="H61" s="75">
        <f t="shared" si="25"/>
        <v>-628.03</v>
      </c>
      <c r="I61" s="75">
        <f t="shared" si="25"/>
        <v>285.31</v>
      </c>
      <c r="J61" s="75">
        <f t="shared" si="25"/>
        <v>67.95</v>
      </c>
      <c r="K61" s="75">
        <f t="shared" si="25"/>
        <v>886.05</v>
      </c>
      <c r="L61" s="75">
        <f t="shared" si="25"/>
        <v>41.94</v>
      </c>
      <c r="M61" s="75">
        <f t="shared" si="25"/>
        <v>0</v>
      </c>
      <c r="N61" s="75">
        <f t="shared" si="25"/>
        <v>50.89</v>
      </c>
      <c r="O61" s="75">
        <f t="shared" si="25"/>
        <v>-50</v>
      </c>
      <c r="P61" s="75">
        <f t="shared" si="25"/>
        <v>-35.5</v>
      </c>
      <c r="Q61" s="75">
        <f t="shared" si="25"/>
        <v>0</v>
      </c>
      <c r="R61" s="75">
        <f>SUM(R59:R60)</f>
        <v>718.05</v>
      </c>
      <c r="S61" s="145">
        <f t="shared" ref="S61:AD61" si="26">SUM(S59:S60)</f>
        <v>92.55</v>
      </c>
      <c r="T61" s="145">
        <f t="shared" si="26"/>
        <v>99.44</v>
      </c>
      <c r="U61" s="145">
        <f t="shared" si="26"/>
        <v>-528.58999999999992</v>
      </c>
      <c r="V61" s="145">
        <f t="shared" si="26"/>
        <v>-243.28</v>
      </c>
      <c r="W61" s="145">
        <f t="shared" si="26"/>
        <v>-175.32999999999998</v>
      </c>
      <c r="X61" s="145">
        <f t="shared" si="26"/>
        <v>710.72</v>
      </c>
      <c r="Y61" s="145">
        <f t="shared" si="26"/>
        <v>752.66</v>
      </c>
      <c r="Z61" s="145">
        <f t="shared" si="26"/>
        <v>752.66</v>
      </c>
      <c r="AA61" s="145">
        <f t="shared" si="26"/>
        <v>803.55</v>
      </c>
      <c r="AB61" s="145">
        <f t="shared" si="26"/>
        <v>753.55</v>
      </c>
      <c r="AC61" s="145">
        <f t="shared" si="26"/>
        <v>718.05</v>
      </c>
      <c r="AD61" s="145">
        <f t="shared" si="26"/>
        <v>718.05</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c r="F63" s="77">
        <v>0</v>
      </c>
      <c r="G63" s="77">
        <v>23.73</v>
      </c>
      <c r="H63" s="77">
        <v>0</v>
      </c>
      <c r="I63" s="77">
        <v>0</v>
      </c>
      <c r="J63" s="77">
        <v>0</v>
      </c>
      <c r="K63" s="77">
        <v>0</v>
      </c>
      <c r="L63" s="77">
        <v>0</v>
      </c>
      <c r="M63" s="77">
        <v>200</v>
      </c>
      <c r="N63" s="77">
        <v>0</v>
      </c>
      <c r="O63" s="77">
        <v>0</v>
      </c>
      <c r="P63" s="77">
        <v>0</v>
      </c>
      <c r="Q63" s="77">
        <v>0</v>
      </c>
      <c r="R63" s="86">
        <f>SUM(F63:Q63)</f>
        <v>223.73</v>
      </c>
      <c r="S63" s="147">
        <f t="shared" ref="S63" si="27">SUM(F63)</f>
        <v>0</v>
      </c>
      <c r="T63" s="147">
        <f>SUM($F63:G63)</f>
        <v>23.73</v>
      </c>
      <c r="U63" s="147">
        <f>SUM($F63:H63)</f>
        <v>23.73</v>
      </c>
      <c r="V63" s="147">
        <f>SUM($F63:I63)</f>
        <v>23.73</v>
      </c>
      <c r="W63" s="147">
        <f>SUM($F63:J63)</f>
        <v>23.73</v>
      </c>
      <c r="X63" s="147">
        <f>SUM($F63:K63)</f>
        <v>23.73</v>
      </c>
      <c r="Y63" s="147">
        <f>SUM($F63:L63)</f>
        <v>23.73</v>
      </c>
      <c r="Z63" s="147">
        <f>SUM($F63:M63)</f>
        <v>223.73</v>
      </c>
      <c r="AA63" s="147">
        <f>SUM($F63:N63)</f>
        <v>223.73</v>
      </c>
      <c r="AB63" s="147">
        <f>SUM($F63:O63)</f>
        <v>223.73</v>
      </c>
      <c r="AC63" s="147">
        <f>SUM($F63:P63)</f>
        <v>223.73</v>
      </c>
      <c r="AD63" s="147">
        <f>SUM($F63:Q63)</f>
        <v>223.73</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0</v>
      </c>
      <c r="P66" s="71">
        <v>0</v>
      </c>
      <c r="Q66" s="71">
        <v>0</v>
      </c>
      <c r="R66" s="79">
        <f t="shared" ref="R66:R70" si="28">SUM(F66:Q66)</f>
        <v>0</v>
      </c>
      <c r="S66" s="139">
        <f t="shared" ref="S66:S70" si="29">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71">
        <v>0</v>
      </c>
      <c r="G67" s="71">
        <v>0</v>
      </c>
      <c r="H67" s="71">
        <v>0</v>
      </c>
      <c r="I67" s="71">
        <v>0</v>
      </c>
      <c r="J67" s="71">
        <v>0</v>
      </c>
      <c r="K67" s="71">
        <v>0</v>
      </c>
      <c r="L67" s="71">
        <v>0</v>
      </c>
      <c r="M67" s="71">
        <v>0</v>
      </c>
      <c r="N67" s="71">
        <v>0</v>
      </c>
      <c r="O67" s="71">
        <v>948.86</v>
      </c>
      <c r="P67" s="71">
        <v>0</v>
      </c>
      <c r="Q67" s="71">
        <v>0</v>
      </c>
      <c r="R67" s="79">
        <f t="shared" si="28"/>
        <v>948.86</v>
      </c>
      <c r="S67" s="139">
        <f t="shared" si="29"/>
        <v>0</v>
      </c>
      <c r="T67" s="139">
        <f>SUM($F67:G67)</f>
        <v>0</v>
      </c>
      <c r="U67" s="139">
        <f>SUM($F67:H67)</f>
        <v>0</v>
      </c>
      <c r="V67" s="139">
        <f>SUM($F67:I67)</f>
        <v>0</v>
      </c>
      <c r="W67" s="139">
        <f>SUM($F67:J67)</f>
        <v>0</v>
      </c>
      <c r="X67" s="139">
        <f>SUM($F67:K67)</f>
        <v>0</v>
      </c>
      <c r="Y67" s="139">
        <f>SUM($F67:L67)</f>
        <v>0</v>
      </c>
      <c r="Z67" s="139">
        <f>SUM($F67:M67)</f>
        <v>0</v>
      </c>
      <c r="AA67" s="139">
        <f>SUM($F67:N67)</f>
        <v>0</v>
      </c>
      <c r="AB67" s="139">
        <f>SUM($F67:O67)</f>
        <v>948.86</v>
      </c>
      <c r="AC67" s="139">
        <f>SUM($F67:P67)</f>
        <v>948.86</v>
      </c>
      <c r="AD67" s="139">
        <f>SUM($F67:Q67)</f>
        <v>948.86</v>
      </c>
    </row>
    <row r="68" spans="1:30" x14ac:dyDescent="0.25">
      <c r="A68" s="106">
        <v>63</v>
      </c>
      <c r="C68" s="1" t="s">
        <v>40</v>
      </c>
      <c r="F68" s="71">
        <v>0</v>
      </c>
      <c r="G68" s="71">
        <v>0</v>
      </c>
      <c r="H68" s="71">
        <v>130</v>
      </c>
      <c r="I68" s="71">
        <v>200</v>
      </c>
      <c r="J68" s="71">
        <v>690</v>
      </c>
      <c r="K68" s="71">
        <v>0</v>
      </c>
      <c r="L68" s="71">
        <v>0</v>
      </c>
      <c r="M68" s="71">
        <v>0</v>
      </c>
      <c r="N68" s="71">
        <v>0</v>
      </c>
      <c r="O68" s="71">
        <v>0</v>
      </c>
      <c r="P68" s="71">
        <v>0</v>
      </c>
      <c r="Q68" s="71">
        <v>0</v>
      </c>
      <c r="R68" s="79">
        <f t="shared" si="28"/>
        <v>1020</v>
      </c>
      <c r="S68" s="139">
        <f t="shared" si="29"/>
        <v>0</v>
      </c>
      <c r="T68" s="139">
        <f>SUM($F68:G68)</f>
        <v>0</v>
      </c>
      <c r="U68" s="139">
        <f>SUM($F68:H68)</f>
        <v>130</v>
      </c>
      <c r="V68" s="139">
        <f>SUM($F68:I68)</f>
        <v>330</v>
      </c>
      <c r="W68" s="139">
        <f>SUM($F68:J68)</f>
        <v>1020</v>
      </c>
      <c r="X68" s="139">
        <f>SUM($F68:K68)</f>
        <v>1020</v>
      </c>
      <c r="Y68" s="139">
        <f>SUM($F68:L68)</f>
        <v>1020</v>
      </c>
      <c r="Z68" s="139">
        <f>SUM($F68:M68)</f>
        <v>1020</v>
      </c>
      <c r="AA68" s="139">
        <f>SUM($F68:N68)</f>
        <v>1020</v>
      </c>
      <c r="AB68" s="139">
        <f>SUM($F68:O68)</f>
        <v>1020</v>
      </c>
      <c r="AC68" s="139">
        <f>SUM($F68:P68)</f>
        <v>1020</v>
      </c>
      <c r="AD68" s="139">
        <f>SUM($F68:Q68)</f>
        <v>1020</v>
      </c>
    </row>
    <row r="69" spans="1:30" x14ac:dyDescent="0.25">
      <c r="A69" s="106">
        <v>64</v>
      </c>
      <c r="C69" s="1" t="s">
        <v>41</v>
      </c>
      <c r="E69" s="101"/>
      <c r="F69" s="71">
        <v>0</v>
      </c>
      <c r="G69" s="71">
        <v>0</v>
      </c>
      <c r="H69" s="71">
        <v>0</v>
      </c>
      <c r="I69" s="71">
        <v>0</v>
      </c>
      <c r="J69" s="71">
        <v>0</v>
      </c>
      <c r="K69" s="71">
        <v>0</v>
      </c>
      <c r="L69" s="71">
        <v>0</v>
      </c>
      <c r="M69" s="71">
        <v>0</v>
      </c>
      <c r="N69" s="71">
        <v>0</v>
      </c>
      <c r="O69" s="71">
        <v>0</v>
      </c>
      <c r="P69" s="71">
        <v>418.93</v>
      </c>
      <c r="Q69" s="71">
        <v>0</v>
      </c>
      <c r="R69" s="79">
        <f t="shared" si="28"/>
        <v>418.93</v>
      </c>
      <c r="S69" s="139">
        <f t="shared" si="29"/>
        <v>0</v>
      </c>
      <c r="T69" s="139">
        <f>SUM($F69:G69)</f>
        <v>0</v>
      </c>
      <c r="U69" s="139">
        <f>SUM($F69:H69)</f>
        <v>0</v>
      </c>
      <c r="V69" s="139">
        <f>SUM($F69:I69)</f>
        <v>0</v>
      </c>
      <c r="W69" s="139">
        <f>SUM($F69:J69)</f>
        <v>0</v>
      </c>
      <c r="X69" s="139">
        <f>SUM($F69:K69)</f>
        <v>0</v>
      </c>
      <c r="Y69" s="139">
        <f>SUM($F69:L69)</f>
        <v>0</v>
      </c>
      <c r="Z69" s="139">
        <f>SUM($F69:M69)</f>
        <v>0</v>
      </c>
      <c r="AA69" s="139">
        <f>SUM($F69:N69)</f>
        <v>0</v>
      </c>
      <c r="AB69" s="139">
        <f>SUM($F69:O69)</f>
        <v>0</v>
      </c>
      <c r="AC69" s="139">
        <f>SUM($F69:P69)</f>
        <v>418.93</v>
      </c>
      <c r="AD69" s="139">
        <f>SUM($F69:Q69)</f>
        <v>418.93</v>
      </c>
    </row>
    <row r="70" spans="1:30" x14ac:dyDescent="0.25">
      <c r="A70" s="106">
        <v>65</v>
      </c>
      <c r="C70" s="1" t="s">
        <v>42</v>
      </c>
      <c r="E70" s="101"/>
      <c r="F70" s="71">
        <v>0</v>
      </c>
      <c r="G70" s="71">
        <v>0</v>
      </c>
      <c r="H70" s="71">
        <v>0</v>
      </c>
      <c r="I70" s="71">
        <v>0</v>
      </c>
      <c r="J70" s="71">
        <v>0</v>
      </c>
      <c r="K70" s="71">
        <v>0</v>
      </c>
      <c r="L70" s="71">
        <v>0</v>
      </c>
      <c r="M70" s="71">
        <v>0</v>
      </c>
      <c r="N70" s="71">
        <v>0</v>
      </c>
      <c r="O70" s="71">
        <v>0</v>
      </c>
      <c r="P70" s="71">
        <v>0</v>
      </c>
      <c r="Q70" s="71">
        <v>0</v>
      </c>
      <c r="R70" s="79">
        <f t="shared" si="28"/>
        <v>0</v>
      </c>
      <c r="S70" s="139">
        <f t="shared" si="29"/>
        <v>0</v>
      </c>
      <c r="T70" s="139">
        <f>SUM($F70:G70)</f>
        <v>0</v>
      </c>
      <c r="U70" s="139">
        <f>SUM($F70:H70)</f>
        <v>0</v>
      </c>
      <c r="V70" s="139">
        <f>SUM($F70:I70)</f>
        <v>0</v>
      </c>
      <c r="W70" s="139">
        <f>SUM($F70:J70)</f>
        <v>0</v>
      </c>
      <c r="X70" s="139">
        <f>SUM($F70:K70)</f>
        <v>0</v>
      </c>
      <c r="Y70" s="139">
        <f>SUM($F70:L70)</f>
        <v>0</v>
      </c>
      <c r="Z70" s="139">
        <f>SUM($F70:M70)</f>
        <v>0</v>
      </c>
      <c r="AA70" s="139">
        <f>SUM($F70:N70)</f>
        <v>0</v>
      </c>
      <c r="AB70" s="139">
        <f>SUM($F70:O70)</f>
        <v>0</v>
      </c>
      <c r="AC70" s="139">
        <f>SUM($F70:P70)</f>
        <v>0</v>
      </c>
      <c r="AD70" s="139">
        <f>SUM($F70:Q70)</f>
        <v>0</v>
      </c>
    </row>
    <row r="71" spans="1:30" s="5" customFormat="1" x14ac:dyDescent="0.25">
      <c r="A71" s="106">
        <v>66</v>
      </c>
      <c r="B71" s="51" t="s">
        <v>43</v>
      </c>
      <c r="C71" s="51"/>
      <c r="D71" s="51"/>
      <c r="E71" s="93"/>
      <c r="F71" s="75">
        <f t="shared" ref="F71:Q71" si="30">SUM(F66:F70)</f>
        <v>0</v>
      </c>
      <c r="G71" s="75">
        <f t="shared" si="30"/>
        <v>0</v>
      </c>
      <c r="H71" s="75">
        <f t="shared" si="30"/>
        <v>130</v>
      </c>
      <c r="I71" s="75">
        <f t="shared" si="30"/>
        <v>200</v>
      </c>
      <c r="J71" s="75">
        <f t="shared" si="30"/>
        <v>690</v>
      </c>
      <c r="K71" s="75">
        <f t="shared" si="30"/>
        <v>0</v>
      </c>
      <c r="L71" s="75">
        <f t="shared" si="30"/>
        <v>0</v>
      </c>
      <c r="M71" s="75">
        <f t="shared" si="30"/>
        <v>0</v>
      </c>
      <c r="N71" s="75">
        <f t="shared" si="30"/>
        <v>0</v>
      </c>
      <c r="O71" s="75">
        <f t="shared" si="30"/>
        <v>948.86</v>
      </c>
      <c r="P71" s="75">
        <f t="shared" si="30"/>
        <v>418.93</v>
      </c>
      <c r="Q71" s="75">
        <f t="shared" si="30"/>
        <v>0</v>
      </c>
      <c r="R71" s="75">
        <f>SUM(R66:R70)</f>
        <v>2387.79</v>
      </c>
      <c r="S71" s="145">
        <f t="shared" ref="S71:AD71" si="31">SUM(S66:S70)</f>
        <v>0</v>
      </c>
      <c r="T71" s="145">
        <f t="shared" si="31"/>
        <v>0</v>
      </c>
      <c r="U71" s="145">
        <f t="shared" si="31"/>
        <v>130</v>
      </c>
      <c r="V71" s="145">
        <f t="shared" si="31"/>
        <v>330</v>
      </c>
      <c r="W71" s="145">
        <f t="shared" si="31"/>
        <v>1020</v>
      </c>
      <c r="X71" s="145">
        <f t="shared" si="31"/>
        <v>1020</v>
      </c>
      <c r="Y71" s="145">
        <f t="shared" si="31"/>
        <v>1020</v>
      </c>
      <c r="Z71" s="145">
        <f t="shared" si="31"/>
        <v>1020</v>
      </c>
      <c r="AA71" s="145">
        <f t="shared" si="31"/>
        <v>1020</v>
      </c>
      <c r="AB71" s="145">
        <f t="shared" si="31"/>
        <v>1968.8600000000001</v>
      </c>
      <c r="AC71" s="145">
        <f t="shared" si="31"/>
        <v>2387.79</v>
      </c>
      <c r="AD71" s="145">
        <f t="shared" si="31"/>
        <v>2387.79</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c r="F74" s="71">
        <v>191.55</v>
      </c>
      <c r="G74" s="71">
        <v>314.04000000000002</v>
      </c>
      <c r="H74" s="71">
        <v>436.94</v>
      </c>
      <c r="I74" s="71">
        <v>135.16</v>
      </c>
      <c r="J74" s="71">
        <v>577.19000000000005</v>
      </c>
      <c r="K74" s="71">
        <v>427.56</v>
      </c>
      <c r="L74" s="71">
        <v>39.380000000000003</v>
      </c>
      <c r="M74" s="71">
        <v>973.9</v>
      </c>
      <c r="N74" s="71">
        <v>220.73</v>
      </c>
      <c r="O74" s="71">
        <v>846.41</v>
      </c>
      <c r="P74" s="71">
        <v>831.1</v>
      </c>
      <c r="Q74" s="71">
        <v>0</v>
      </c>
      <c r="R74" s="79">
        <f t="shared" ref="R74:R80" si="32">SUM(F74:Q74)</f>
        <v>4993.9600000000009</v>
      </c>
      <c r="S74" s="139">
        <f t="shared" ref="S74:S80" si="33">SUM(F74)</f>
        <v>191.55</v>
      </c>
      <c r="T74" s="139">
        <f>SUM($F74:G74)</f>
        <v>505.59000000000003</v>
      </c>
      <c r="U74" s="139">
        <f>SUM($F74:H74)</f>
        <v>942.53</v>
      </c>
      <c r="V74" s="139">
        <f>SUM($F74:I74)</f>
        <v>1077.69</v>
      </c>
      <c r="W74" s="139">
        <f>SUM($F74:J74)</f>
        <v>1654.88</v>
      </c>
      <c r="X74" s="139">
        <f>SUM($F74:K74)</f>
        <v>2082.44</v>
      </c>
      <c r="Y74" s="139">
        <f>SUM($F74:L74)</f>
        <v>2121.8200000000002</v>
      </c>
      <c r="Z74" s="139">
        <f>SUM($F74:M74)</f>
        <v>3095.7200000000003</v>
      </c>
      <c r="AA74" s="139">
        <f>SUM($F74:N74)</f>
        <v>3316.4500000000003</v>
      </c>
      <c r="AB74" s="139">
        <f>SUM($F74:O74)</f>
        <v>4162.8600000000006</v>
      </c>
      <c r="AC74" s="139">
        <f>SUM($F74:P74)</f>
        <v>4993.9600000000009</v>
      </c>
      <c r="AD74" s="139">
        <f>SUM($F74:Q74)</f>
        <v>4993.9600000000009</v>
      </c>
    </row>
    <row r="75" spans="1:30" x14ac:dyDescent="0.25">
      <c r="A75" s="106">
        <v>70</v>
      </c>
      <c r="C75" s="1" t="s">
        <v>46</v>
      </c>
      <c r="E75" s="101"/>
      <c r="F75" s="71">
        <v>608.1</v>
      </c>
      <c r="G75" s="71">
        <v>101.5</v>
      </c>
      <c r="H75" s="71">
        <v>735.1</v>
      </c>
      <c r="I75" s="71">
        <v>44.9</v>
      </c>
      <c r="J75" s="71">
        <v>71.7</v>
      </c>
      <c r="K75" s="71">
        <v>45.5</v>
      </c>
      <c r="L75" s="71">
        <v>726.1</v>
      </c>
      <c r="M75" s="71">
        <v>726.3</v>
      </c>
      <c r="N75" s="71">
        <v>243.3</v>
      </c>
      <c r="O75" s="71">
        <v>1179</v>
      </c>
      <c r="P75" s="71">
        <v>0</v>
      </c>
      <c r="Q75" s="71">
        <v>0</v>
      </c>
      <c r="R75" s="79">
        <f t="shared" si="32"/>
        <v>4481.5</v>
      </c>
      <c r="S75" s="139">
        <f t="shared" si="33"/>
        <v>608.1</v>
      </c>
      <c r="T75" s="139">
        <f>SUM($F75:G75)</f>
        <v>709.6</v>
      </c>
      <c r="U75" s="139">
        <f>SUM($F75:H75)</f>
        <v>1444.7</v>
      </c>
      <c r="V75" s="139">
        <f>SUM($F75:I75)</f>
        <v>1489.6000000000001</v>
      </c>
      <c r="W75" s="139">
        <f>SUM($F75:J75)</f>
        <v>1561.3000000000002</v>
      </c>
      <c r="X75" s="139">
        <f>SUM($F75:K75)</f>
        <v>1606.8000000000002</v>
      </c>
      <c r="Y75" s="139">
        <f>SUM($F75:L75)</f>
        <v>2332.9</v>
      </c>
      <c r="Z75" s="139">
        <f>SUM($F75:M75)</f>
        <v>3059.2</v>
      </c>
      <c r="AA75" s="139">
        <f>SUM($F75:N75)</f>
        <v>3302.5</v>
      </c>
      <c r="AB75" s="139">
        <f>SUM($F75:O75)</f>
        <v>4481.5</v>
      </c>
      <c r="AC75" s="139">
        <f>SUM($F75:P75)</f>
        <v>4481.5</v>
      </c>
      <c r="AD75" s="139">
        <f>SUM($F75:Q75)</f>
        <v>4481.5</v>
      </c>
    </row>
    <row r="76" spans="1:30" x14ac:dyDescent="0.25">
      <c r="A76" s="106">
        <v>71</v>
      </c>
      <c r="C76" s="1" t="s">
        <v>145</v>
      </c>
      <c r="E76" s="101"/>
      <c r="F76" s="71">
        <v>0</v>
      </c>
      <c r="G76" s="71">
        <v>0</v>
      </c>
      <c r="H76" s="71">
        <v>0</v>
      </c>
      <c r="I76" s="71">
        <v>0</v>
      </c>
      <c r="J76" s="71">
        <v>0</v>
      </c>
      <c r="K76" s="71">
        <v>168</v>
      </c>
      <c r="L76" s="71">
        <v>0</v>
      </c>
      <c r="M76" s="71">
        <v>0</v>
      </c>
      <c r="N76" s="71">
        <v>0</v>
      </c>
      <c r="O76" s="71">
        <v>0</v>
      </c>
      <c r="P76" s="71">
        <v>0</v>
      </c>
      <c r="Q76" s="71">
        <v>0</v>
      </c>
      <c r="R76" s="79">
        <f t="shared" si="32"/>
        <v>168</v>
      </c>
      <c r="S76" s="139">
        <f t="shared" si="33"/>
        <v>0</v>
      </c>
      <c r="T76" s="139">
        <f>SUM($F76:G76)</f>
        <v>0</v>
      </c>
      <c r="U76" s="139">
        <f>SUM($F76:H76)</f>
        <v>0</v>
      </c>
      <c r="V76" s="139">
        <f>SUM($F76:I76)</f>
        <v>0</v>
      </c>
      <c r="W76" s="139">
        <f>SUM($F76:J76)</f>
        <v>0</v>
      </c>
      <c r="X76" s="139">
        <f>SUM($F76:K76)</f>
        <v>168</v>
      </c>
      <c r="Y76" s="139">
        <f>SUM($F76:L76)</f>
        <v>168</v>
      </c>
      <c r="Z76" s="139">
        <f>SUM($F76:M76)</f>
        <v>168</v>
      </c>
      <c r="AA76" s="139">
        <f>SUM($F76:N76)</f>
        <v>168</v>
      </c>
      <c r="AB76" s="139">
        <f>SUM($F76:O76)</f>
        <v>168</v>
      </c>
      <c r="AC76" s="139">
        <f>SUM($F76:P76)</f>
        <v>168</v>
      </c>
      <c r="AD76" s="139">
        <f>SUM($F76:Q76)</f>
        <v>168</v>
      </c>
    </row>
    <row r="77" spans="1:30" x14ac:dyDescent="0.25">
      <c r="A77" s="106">
        <v>72</v>
      </c>
      <c r="C77" s="1" t="s">
        <v>47</v>
      </c>
      <c r="F77" s="71">
        <v>253</v>
      </c>
      <c r="G77" s="71">
        <v>0</v>
      </c>
      <c r="H77" s="71">
        <v>126.5</v>
      </c>
      <c r="I77" s="71">
        <v>0</v>
      </c>
      <c r="J77" s="71">
        <v>0</v>
      </c>
      <c r="K77" s="71">
        <v>0</v>
      </c>
      <c r="L77" s="71">
        <v>0</v>
      </c>
      <c r="M77" s="71">
        <v>0</v>
      </c>
      <c r="N77" s="71">
        <v>0</v>
      </c>
      <c r="O77" s="71">
        <v>0</v>
      </c>
      <c r="P77" s="71">
        <v>0</v>
      </c>
      <c r="Q77" s="71">
        <v>0</v>
      </c>
      <c r="R77" s="79">
        <f t="shared" si="32"/>
        <v>379.5</v>
      </c>
      <c r="S77" s="139">
        <f t="shared" si="33"/>
        <v>253</v>
      </c>
      <c r="T77" s="139">
        <f>SUM($F77:G77)</f>
        <v>253</v>
      </c>
      <c r="U77" s="139">
        <f>SUM($F77:H77)</f>
        <v>379.5</v>
      </c>
      <c r="V77" s="139">
        <f>SUM($F77:I77)</f>
        <v>379.5</v>
      </c>
      <c r="W77" s="139">
        <f>SUM($F77:J77)</f>
        <v>379.5</v>
      </c>
      <c r="X77" s="139">
        <f>SUM($F77:K77)</f>
        <v>379.5</v>
      </c>
      <c r="Y77" s="139">
        <f>SUM($F77:L77)</f>
        <v>379.5</v>
      </c>
      <c r="Z77" s="139">
        <f>SUM($F77:M77)</f>
        <v>379.5</v>
      </c>
      <c r="AA77" s="139">
        <f>SUM($F77:N77)</f>
        <v>379.5</v>
      </c>
      <c r="AB77" s="139">
        <f>SUM($F77:O77)</f>
        <v>379.5</v>
      </c>
      <c r="AC77" s="139">
        <f>SUM($F77:P77)</f>
        <v>379.5</v>
      </c>
      <c r="AD77" s="139">
        <f>SUM($F77:Q77)</f>
        <v>379.5</v>
      </c>
    </row>
    <row r="78" spans="1:30" x14ac:dyDescent="0.25">
      <c r="A78" s="106">
        <v>73</v>
      </c>
      <c r="C78" s="1" t="s">
        <v>48</v>
      </c>
      <c r="E78" s="101"/>
      <c r="F78" s="71">
        <v>1869.08</v>
      </c>
      <c r="G78" s="71">
        <v>1236.79</v>
      </c>
      <c r="H78" s="71">
        <v>1457.65</v>
      </c>
      <c r="I78" s="71">
        <v>1322.9</v>
      </c>
      <c r="J78" s="71">
        <v>1435.81</v>
      </c>
      <c r="K78" s="71">
        <v>1555.71</v>
      </c>
      <c r="L78" s="71">
        <v>1420.46</v>
      </c>
      <c r="M78" s="71">
        <v>1252.8499999999999</v>
      </c>
      <c r="N78" s="71">
        <v>1876.97</v>
      </c>
      <c r="O78" s="71">
        <v>2162.2800000000002</v>
      </c>
      <c r="P78" s="71">
        <v>2720.43</v>
      </c>
      <c r="Q78" s="71">
        <v>0</v>
      </c>
      <c r="R78" s="79">
        <f t="shared" si="32"/>
        <v>18310.929999999997</v>
      </c>
      <c r="S78" s="139">
        <f t="shared" si="33"/>
        <v>1869.08</v>
      </c>
      <c r="T78" s="139">
        <f>SUM($F78:G78)</f>
        <v>3105.87</v>
      </c>
      <c r="U78" s="139">
        <f>SUM($F78:H78)</f>
        <v>4563.5200000000004</v>
      </c>
      <c r="V78" s="139">
        <f>SUM($F78:I78)</f>
        <v>5886.42</v>
      </c>
      <c r="W78" s="139">
        <f>SUM($F78:J78)</f>
        <v>7322.23</v>
      </c>
      <c r="X78" s="139">
        <f>SUM($F78:K78)</f>
        <v>8877.9399999999987</v>
      </c>
      <c r="Y78" s="139">
        <f>SUM($F78:L78)</f>
        <v>10298.399999999998</v>
      </c>
      <c r="Z78" s="139">
        <f>SUM($F78:M78)</f>
        <v>11551.249999999998</v>
      </c>
      <c r="AA78" s="139">
        <f>SUM($F78:N78)</f>
        <v>13428.219999999998</v>
      </c>
      <c r="AB78" s="139">
        <f>SUM($F78:O78)</f>
        <v>15590.499999999998</v>
      </c>
      <c r="AC78" s="139">
        <f>SUM($F78:P78)</f>
        <v>18310.929999999997</v>
      </c>
      <c r="AD78" s="139">
        <f>SUM($F78:Q78)</f>
        <v>18310.929999999997</v>
      </c>
    </row>
    <row r="79" spans="1:30" x14ac:dyDescent="0.25">
      <c r="A79" s="106">
        <v>74</v>
      </c>
      <c r="C79" s="1" t="s">
        <v>49</v>
      </c>
      <c r="E79" s="101"/>
      <c r="F79" s="71">
        <v>0</v>
      </c>
      <c r="G79" s="71">
        <v>0</v>
      </c>
      <c r="H79" s="71">
        <v>76.459999999999994</v>
      </c>
      <c r="I79" s="71">
        <v>0</v>
      </c>
      <c r="J79" s="71">
        <v>83.12</v>
      </c>
      <c r="K79" s="71">
        <v>0</v>
      </c>
      <c r="L79" s="71">
        <v>0</v>
      </c>
      <c r="M79" s="71">
        <v>115.13</v>
      </c>
      <c r="N79" s="71">
        <v>0</v>
      </c>
      <c r="O79" s="71">
        <v>189.2</v>
      </c>
      <c r="P79" s="71">
        <v>90.26</v>
      </c>
      <c r="Q79" s="71">
        <v>0</v>
      </c>
      <c r="R79" s="79">
        <f t="shared" si="32"/>
        <v>554.16999999999996</v>
      </c>
      <c r="S79" s="139">
        <f t="shared" si="33"/>
        <v>0</v>
      </c>
      <c r="T79" s="139">
        <f>SUM($F79:G79)</f>
        <v>0</v>
      </c>
      <c r="U79" s="139">
        <f>SUM($F79:H79)</f>
        <v>76.459999999999994</v>
      </c>
      <c r="V79" s="139">
        <f>SUM($F79:I79)</f>
        <v>76.459999999999994</v>
      </c>
      <c r="W79" s="139">
        <f>SUM($F79:J79)</f>
        <v>159.57999999999998</v>
      </c>
      <c r="X79" s="139">
        <f>SUM($F79:K79)</f>
        <v>159.57999999999998</v>
      </c>
      <c r="Y79" s="139">
        <f>SUM($F79:L79)</f>
        <v>159.57999999999998</v>
      </c>
      <c r="Z79" s="139">
        <f>SUM($F79:M79)</f>
        <v>274.70999999999998</v>
      </c>
      <c r="AA79" s="139">
        <f>SUM($F79:N79)</f>
        <v>274.70999999999998</v>
      </c>
      <c r="AB79" s="139">
        <f>SUM($F79:O79)</f>
        <v>463.90999999999997</v>
      </c>
      <c r="AC79" s="139">
        <f>SUM($F79:P79)</f>
        <v>554.16999999999996</v>
      </c>
      <c r="AD79" s="139">
        <f>SUM($F79:Q79)</f>
        <v>554.16999999999996</v>
      </c>
    </row>
    <row r="80" spans="1:30" x14ac:dyDescent="0.25">
      <c r="A80" s="106">
        <v>75</v>
      </c>
      <c r="C80" s="1" t="s">
        <v>50</v>
      </c>
      <c r="E80" s="101"/>
      <c r="F80" s="71">
        <v>136.22999999999999</v>
      </c>
      <c r="G80" s="71">
        <v>115.86</v>
      </c>
      <c r="H80" s="71">
        <v>116.66</v>
      </c>
      <c r="I80" s="71">
        <v>118.13</v>
      </c>
      <c r="J80" s="71">
        <v>155.41999999999999</v>
      </c>
      <c r="K80" s="71">
        <v>109.79</v>
      </c>
      <c r="L80" s="71">
        <v>101.58</v>
      </c>
      <c r="M80" s="71">
        <v>111.18</v>
      </c>
      <c r="N80" s="71">
        <v>102.52</v>
      </c>
      <c r="O80" s="71">
        <v>108.74</v>
      </c>
      <c r="P80" s="71">
        <v>119.14</v>
      </c>
      <c r="Q80" s="71">
        <v>0</v>
      </c>
      <c r="R80" s="79">
        <f t="shared" si="32"/>
        <v>1295.25</v>
      </c>
      <c r="S80" s="139">
        <f t="shared" si="33"/>
        <v>136.22999999999999</v>
      </c>
      <c r="T80" s="139">
        <f>SUM($F80:G80)</f>
        <v>252.08999999999997</v>
      </c>
      <c r="U80" s="139">
        <f>SUM($F80:H80)</f>
        <v>368.75</v>
      </c>
      <c r="V80" s="139">
        <f>SUM($F80:I80)</f>
        <v>486.88</v>
      </c>
      <c r="W80" s="139">
        <f>SUM($F80:J80)</f>
        <v>642.29999999999995</v>
      </c>
      <c r="X80" s="139">
        <f>SUM($F80:K80)</f>
        <v>752.08999999999992</v>
      </c>
      <c r="Y80" s="139">
        <f>SUM($F80:L80)</f>
        <v>853.67</v>
      </c>
      <c r="Z80" s="139">
        <f>SUM($F80:M80)</f>
        <v>964.84999999999991</v>
      </c>
      <c r="AA80" s="139">
        <f>SUM($F80:N80)</f>
        <v>1067.3699999999999</v>
      </c>
      <c r="AB80" s="139">
        <f>SUM($F80:O80)</f>
        <v>1176.1099999999999</v>
      </c>
      <c r="AC80" s="139">
        <f>SUM($F80:P80)</f>
        <v>1295.25</v>
      </c>
      <c r="AD80" s="139">
        <f>SUM($F80:Q80)</f>
        <v>1295.25</v>
      </c>
    </row>
    <row r="81" spans="1:30" s="5" customFormat="1" x14ac:dyDescent="0.25">
      <c r="A81" s="106">
        <v>76</v>
      </c>
      <c r="B81" s="51" t="s">
        <v>53</v>
      </c>
      <c r="C81" s="51"/>
      <c r="D81" s="51"/>
      <c r="E81" s="93"/>
      <c r="F81" s="75">
        <f t="shared" ref="F81:Q81" si="34">SUM(F74:F80)</f>
        <v>3057.96</v>
      </c>
      <c r="G81" s="75">
        <f t="shared" si="34"/>
        <v>1768.1899999999998</v>
      </c>
      <c r="H81" s="75">
        <f t="shared" si="34"/>
        <v>2949.31</v>
      </c>
      <c r="I81" s="75">
        <f t="shared" si="34"/>
        <v>1621.0900000000001</v>
      </c>
      <c r="J81" s="75">
        <f t="shared" si="34"/>
        <v>2323.2399999999998</v>
      </c>
      <c r="K81" s="75">
        <f t="shared" si="34"/>
        <v>2306.56</v>
      </c>
      <c r="L81" s="75">
        <f t="shared" si="34"/>
        <v>2287.52</v>
      </c>
      <c r="M81" s="75">
        <f t="shared" si="34"/>
        <v>3179.3599999999997</v>
      </c>
      <c r="N81" s="75">
        <f t="shared" si="34"/>
        <v>2443.52</v>
      </c>
      <c r="O81" s="75">
        <f t="shared" si="34"/>
        <v>4485.63</v>
      </c>
      <c r="P81" s="75">
        <f t="shared" si="34"/>
        <v>3760.93</v>
      </c>
      <c r="Q81" s="75">
        <f t="shared" si="34"/>
        <v>0</v>
      </c>
      <c r="R81" s="75">
        <f>SUM(R74:R80)</f>
        <v>30183.309999999998</v>
      </c>
      <c r="S81" s="145">
        <f t="shared" ref="S81:AD81" si="35">SUM(S74:S80)</f>
        <v>3057.96</v>
      </c>
      <c r="T81" s="145">
        <f t="shared" si="35"/>
        <v>4826.1499999999996</v>
      </c>
      <c r="U81" s="145">
        <f t="shared" si="35"/>
        <v>7775.46</v>
      </c>
      <c r="V81" s="145">
        <f t="shared" si="35"/>
        <v>9396.5499999999975</v>
      </c>
      <c r="W81" s="145">
        <f t="shared" si="35"/>
        <v>11719.789999999999</v>
      </c>
      <c r="X81" s="145">
        <f t="shared" si="35"/>
        <v>14026.349999999999</v>
      </c>
      <c r="Y81" s="145">
        <f t="shared" si="35"/>
        <v>16313.869999999999</v>
      </c>
      <c r="Z81" s="145">
        <f t="shared" si="35"/>
        <v>19493.229999999996</v>
      </c>
      <c r="AA81" s="145">
        <f t="shared" si="35"/>
        <v>21936.749999999996</v>
      </c>
      <c r="AB81" s="145">
        <f t="shared" si="35"/>
        <v>26422.38</v>
      </c>
      <c r="AC81" s="145">
        <f t="shared" si="35"/>
        <v>30183.309999999998</v>
      </c>
      <c r="AD81" s="145">
        <f t="shared" si="35"/>
        <v>30183.309999999998</v>
      </c>
    </row>
    <row r="82" spans="1:30" x14ac:dyDescent="0.25">
      <c r="A82" s="106">
        <v>77</v>
      </c>
      <c r="B82" s="51" t="s">
        <v>126</v>
      </c>
      <c r="C82" s="32"/>
      <c r="D82" s="32"/>
      <c r="E82" s="95"/>
      <c r="F82" s="75">
        <f t="shared" ref="F82:Q82" si="36">+F41+F43+F50+F56+F63+F71+F81+F61</f>
        <v>4473.2699999999995</v>
      </c>
      <c r="G82" s="75">
        <f t="shared" si="36"/>
        <v>3046.27</v>
      </c>
      <c r="H82" s="75">
        <f t="shared" si="36"/>
        <v>3196.95</v>
      </c>
      <c r="I82" s="75">
        <f t="shared" si="36"/>
        <v>4297.9900000000007</v>
      </c>
      <c r="J82" s="75">
        <f t="shared" si="36"/>
        <v>5192.54</v>
      </c>
      <c r="K82" s="75">
        <f t="shared" si="36"/>
        <v>5340.67</v>
      </c>
      <c r="L82" s="75">
        <f t="shared" si="36"/>
        <v>3739.73</v>
      </c>
      <c r="M82" s="75">
        <f t="shared" si="36"/>
        <v>5262.5</v>
      </c>
      <c r="N82" s="75">
        <f t="shared" si="36"/>
        <v>4189.01</v>
      </c>
      <c r="O82" s="75">
        <f t="shared" si="36"/>
        <v>7385.0499999999993</v>
      </c>
      <c r="P82" s="75">
        <f t="shared" si="36"/>
        <v>7295.5599999999995</v>
      </c>
      <c r="Q82" s="75">
        <f t="shared" si="36"/>
        <v>0</v>
      </c>
      <c r="R82" s="75">
        <f>+R41+R43+R50+R56+R63+R71+R81+R61</f>
        <v>53419.54</v>
      </c>
      <c r="S82" s="145">
        <f t="shared" ref="S82:AD82" si="37">+S41+S43+S50+S56+S63+S71+S81+S61</f>
        <v>4473.2699999999995</v>
      </c>
      <c r="T82" s="145">
        <f t="shared" si="37"/>
        <v>7519.5399999999991</v>
      </c>
      <c r="U82" s="145">
        <f t="shared" si="37"/>
        <v>10716.49</v>
      </c>
      <c r="V82" s="145">
        <f t="shared" si="37"/>
        <v>15014.479999999996</v>
      </c>
      <c r="W82" s="145">
        <f t="shared" si="37"/>
        <v>20207.019999999997</v>
      </c>
      <c r="X82" s="145">
        <f t="shared" si="37"/>
        <v>25547.69</v>
      </c>
      <c r="Y82" s="145">
        <f t="shared" si="37"/>
        <v>29287.42</v>
      </c>
      <c r="Z82" s="145">
        <f t="shared" si="37"/>
        <v>34549.919999999998</v>
      </c>
      <c r="AA82" s="145">
        <f t="shared" si="37"/>
        <v>38738.93</v>
      </c>
      <c r="AB82" s="145">
        <f t="shared" si="37"/>
        <v>46123.98</v>
      </c>
      <c r="AC82" s="145">
        <f t="shared" si="37"/>
        <v>53419.54</v>
      </c>
      <c r="AD82" s="145">
        <f t="shared" si="37"/>
        <v>53419.54</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c r="F86" s="71">
        <v>6869.58</v>
      </c>
      <c r="G86" s="71">
        <v>6869.58</v>
      </c>
      <c r="H86" s="71">
        <v>6869.58</v>
      </c>
      <c r="I86" s="71">
        <v>8693.59</v>
      </c>
      <c r="J86" s="71">
        <v>6869.58</v>
      </c>
      <c r="K86" s="71">
        <v>8693.59</v>
      </c>
      <c r="L86" s="71">
        <v>6869.58</v>
      </c>
      <c r="M86" s="71">
        <v>6869.58</v>
      </c>
      <c r="N86" s="71">
        <v>8693.59</v>
      </c>
      <c r="O86" s="71">
        <v>6869.58</v>
      </c>
      <c r="P86" s="71">
        <v>6869.58</v>
      </c>
      <c r="Q86" s="71">
        <v>0</v>
      </c>
      <c r="R86" s="79">
        <f t="shared" ref="R86:R90" si="38">SUM(F86:Q86)</f>
        <v>81037.41</v>
      </c>
      <c r="S86" s="139">
        <f t="shared" ref="S86:S90" si="39">SUM(F86)</f>
        <v>6869.58</v>
      </c>
      <c r="T86" s="139">
        <f>SUM($F86:G86)</f>
        <v>13739.16</v>
      </c>
      <c r="U86" s="139">
        <f>SUM($F86:H86)</f>
        <v>20608.739999999998</v>
      </c>
      <c r="V86" s="139">
        <f>SUM($F86:I86)</f>
        <v>29302.329999999998</v>
      </c>
      <c r="W86" s="139">
        <f>SUM($F86:J86)</f>
        <v>36171.909999999996</v>
      </c>
      <c r="X86" s="139">
        <f>SUM($F86:K86)</f>
        <v>44865.5</v>
      </c>
      <c r="Y86" s="139">
        <f>SUM($F86:L86)</f>
        <v>51735.08</v>
      </c>
      <c r="Z86" s="139">
        <f>SUM($F86:M86)</f>
        <v>58604.66</v>
      </c>
      <c r="AA86" s="139">
        <f>SUM($F86:N86)</f>
        <v>67298.25</v>
      </c>
      <c r="AB86" s="139">
        <f>SUM($F86:O86)</f>
        <v>74167.83</v>
      </c>
      <c r="AC86" s="139">
        <f>SUM($F86:P86)</f>
        <v>81037.41</v>
      </c>
      <c r="AD86" s="139">
        <f>SUM($F86:Q86)</f>
        <v>81037.41</v>
      </c>
    </row>
    <row r="87" spans="1:30" x14ac:dyDescent="0.25">
      <c r="A87" s="106">
        <v>82</v>
      </c>
      <c r="C87" s="1" t="s">
        <v>55</v>
      </c>
      <c r="E87" s="101"/>
      <c r="F87" s="71">
        <v>0</v>
      </c>
      <c r="G87" s="71">
        <v>500</v>
      </c>
      <c r="H87" s="71">
        <v>250</v>
      </c>
      <c r="I87" s="71">
        <v>250</v>
      </c>
      <c r="J87" s="71">
        <v>250</v>
      </c>
      <c r="K87" s="71">
        <v>250</v>
      </c>
      <c r="L87" s="71">
        <v>250</v>
      </c>
      <c r="M87" s="71">
        <v>250</v>
      </c>
      <c r="N87" s="71">
        <v>250</v>
      </c>
      <c r="O87" s="71">
        <v>250</v>
      </c>
      <c r="P87" s="71">
        <v>250</v>
      </c>
      <c r="Q87" s="71">
        <v>0</v>
      </c>
      <c r="R87" s="79">
        <f t="shared" si="38"/>
        <v>2750</v>
      </c>
      <c r="S87" s="139">
        <f t="shared" si="39"/>
        <v>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2750</v>
      </c>
    </row>
    <row r="88" spans="1:30" x14ac:dyDescent="0.25">
      <c r="A88" s="106">
        <v>83</v>
      </c>
      <c r="C88" s="1" t="s">
        <v>56</v>
      </c>
      <c r="E88" s="101"/>
      <c r="F88" s="71">
        <v>2845.72</v>
      </c>
      <c r="G88" s="71">
        <v>2845.72</v>
      </c>
      <c r="H88" s="71">
        <v>2845.72</v>
      </c>
      <c r="I88" s="71">
        <v>2845.72</v>
      </c>
      <c r="J88" s="71">
        <v>2720.42</v>
      </c>
      <c r="K88" s="71">
        <v>2820.66</v>
      </c>
      <c r="L88" s="71">
        <v>2820.66</v>
      </c>
      <c r="M88" s="71">
        <v>2820.66</v>
      </c>
      <c r="N88" s="71">
        <v>2820.66</v>
      </c>
      <c r="O88" s="71">
        <v>2820.66</v>
      </c>
      <c r="P88" s="71">
        <v>2820.66</v>
      </c>
      <c r="Q88" s="71">
        <v>0</v>
      </c>
      <c r="R88" s="79">
        <f t="shared" si="38"/>
        <v>31027.26</v>
      </c>
      <c r="S88" s="139">
        <f t="shared" si="39"/>
        <v>2845.72</v>
      </c>
      <c r="T88" s="139">
        <f>SUM($F88:G88)</f>
        <v>5691.44</v>
      </c>
      <c r="U88" s="139">
        <f>SUM($F88:H88)</f>
        <v>8537.16</v>
      </c>
      <c r="V88" s="139">
        <f>SUM($F88:I88)</f>
        <v>11382.88</v>
      </c>
      <c r="W88" s="139">
        <f>SUM($F88:J88)</f>
        <v>14103.3</v>
      </c>
      <c r="X88" s="139">
        <f>SUM($F88:K88)</f>
        <v>16923.96</v>
      </c>
      <c r="Y88" s="139">
        <f>SUM($F88:L88)</f>
        <v>19744.62</v>
      </c>
      <c r="Z88" s="139">
        <f>SUM($F88:M88)</f>
        <v>22565.279999999999</v>
      </c>
      <c r="AA88" s="139">
        <f>SUM($F88:N88)</f>
        <v>25385.94</v>
      </c>
      <c r="AB88" s="139">
        <f>SUM($F88:O88)</f>
        <v>28206.6</v>
      </c>
      <c r="AC88" s="139">
        <f>SUM($F88:P88)</f>
        <v>31027.26</v>
      </c>
      <c r="AD88" s="139">
        <f>SUM($F88:Q88)</f>
        <v>31027.26</v>
      </c>
    </row>
    <row r="89" spans="1:30" x14ac:dyDescent="0.25">
      <c r="A89" s="106">
        <v>84</v>
      </c>
      <c r="C89" s="1" t="s">
        <v>57</v>
      </c>
      <c r="E89" s="101"/>
      <c r="F89" s="71">
        <v>670.67</v>
      </c>
      <c r="G89" s="71">
        <v>309.56</v>
      </c>
      <c r="H89" s="71">
        <v>566.92999999999995</v>
      </c>
      <c r="I89" s="71">
        <v>104.92</v>
      </c>
      <c r="J89" s="71">
        <v>975.86</v>
      </c>
      <c r="K89" s="71">
        <v>798.2</v>
      </c>
      <c r="L89" s="71">
        <v>80.599999999999994</v>
      </c>
      <c r="M89" s="71">
        <v>16.43</v>
      </c>
      <c r="N89" s="71">
        <v>353</v>
      </c>
      <c r="O89" s="71">
        <v>4.7300000000000004</v>
      </c>
      <c r="P89" s="71">
        <v>0</v>
      </c>
      <c r="Q89" s="71">
        <v>0</v>
      </c>
      <c r="R89" s="79">
        <f t="shared" si="38"/>
        <v>3880.9</v>
      </c>
      <c r="S89" s="139">
        <f t="shared" si="39"/>
        <v>670.67</v>
      </c>
      <c r="T89" s="139">
        <f>SUM($F89:G89)</f>
        <v>980.23</v>
      </c>
      <c r="U89" s="139">
        <f>SUM($F89:H89)</f>
        <v>1547.1599999999999</v>
      </c>
      <c r="V89" s="139">
        <f>SUM($F89:I89)</f>
        <v>1652.08</v>
      </c>
      <c r="W89" s="139">
        <f>SUM($F89:J89)</f>
        <v>2627.94</v>
      </c>
      <c r="X89" s="139">
        <f>SUM($F89:K89)</f>
        <v>3426.1400000000003</v>
      </c>
      <c r="Y89" s="139">
        <f>SUM($F89:L89)</f>
        <v>3506.7400000000002</v>
      </c>
      <c r="Z89" s="139">
        <f>SUM($F89:M89)</f>
        <v>3523.17</v>
      </c>
      <c r="AA89" s="139">
        <f>SUM($F89:N89)</f>
        <v>3876.17</v>
      </c>
      <c r="AB89" s="139">
        <f>SUM($F89:O89)</f>
        <v>3880.9</v>
      </c>
      <c r="AC89" s="139">
        <f>SUM($F89:P89)</f>
        <v>3880.9</v>
      </c>
      <c r="AD89" s="139">
        <f>SUM($F89:Q89)</f>
        <v>3880.9</v>
      </c>
    </row>
    <row r="90" spans="1:30" x14ac:dyDescent="0.25">
      <c r="A90" s="106">
        <v>85</v>
      </c>
      <c r="C90" s="1" t="s">
        <v>58</v>
      </c>
      <c r="E90" s="101"/>
      <c r="F90" s="71">
        <v>0</v>
      </c>
      <c r="G90" s="71">
        <v>275</v>
      </c>
      <c r="H90" s="71">
        <v>0</v>
      </c>
      <c r="I90" s="71">
        <v>687.4</v>
      </c>
      <c r="J90" s="71">
        <v>0</v>
      </c>
      <c r="K90" s="71">
        <v>75.84</v>
      </c>
      <c r="L90" s="71">
        <v>1561.8</v>
      </c>
      <c r="M90" s="71">
        <v>225</v>
      </c>
      <c r="N90" s="71">
        <v>0</v>
      </c>
      <c r="O90" s="71">
        <v>174.96</v>
      </c>
      <c r="P90" s="71">
        <v>0</v>
      </c>
      <c r="Q90" s="71">
        <v>0</v>
      </c>
      <c r="R90" s="79">
        <f t="shared" si="38"/>
        <v>3000</v>
      </c>
      <c r="S90" s="139">
        <f t="shared" si="39"/>
        <v>0</v>
      </c>
      <c r="T90" s="139">
        <f>SUM($F90:G90)</f>
        <v>275</v>
      </c>
      <c r="U90" s="139">
        <f>SUM($F90:H90)</f>
        <v>275</v>
      </c>
      <c r="V90" s="139">
        <f>SUM($F90:I90)</f>
        <v>962.4</v>
      </c>
      <c r="W90" s="139">
        <f>SUM($F90:J90)</f>
        <v>962.4</v>
      </c>
      <c r="X90" s="139">
        <f>SUM($F90:K90)</f>
        <v>1038.24</v>
      </c>
      <c r="Y90" s="139">
        <f>SUM($F90:L90)</f>
        <v>2600.04</v>
      </c>
      <c r="Z90" s="139">
        <f>SUM($F90:M90)</f>
        <v>2825.04</v>
      </c>
      <c r="AA90" s="139">
        <f>SUM($F90:N90)</f>
        <v>2825.04</v>
      </c>
      <c r="AB90" s="139">
        <f>SUM($F90:O90)</f>
        <v>3000</v>
      </c>
      <c r="AC90" s="139">
        <f>SUM($F90:P90)</f>
        <v>3000</v>
      </c>
      <c r="AD90" s="139">
        <f>SUM($F90:Q90)</f>
        <v>3000</v>
      </c>
    </row>
    <row r="91" spans="1:30" s="5" customFormat="1" x14ac:dyDescent="0.25">
      <c r="A91" s="106">
        <v>86</v>
      </c>
      <c r="B91" s="33" t="s">
        <v>59</v>
      </c>
      <c r="C91" s="33"/>
      <c r="D91" s="33"/>
      <c r="E91" s="96"/>
      <c r="F91" s="80">
        <f t="shared" ref="F91:Q91" si="40">SUM(F86:F90)</f>
        <v>10385.969999999999</v>
      </c>
      <c r="G91" s="80">
        <f t="shared" si="40"/>
        <v>10799.859999999999</v>
      </c>
      <c r="H91" s="80">
        <f t="shared" si="40"/>
        <v>10532.23</v>
      </c>
      <c r="I91" s="80">
        <f t="shared" si="40"/>
        <v>12581.63</v>
      </c>
      <c r="J91" s="80">
        <f t="shared" si="40"/>
        <v>10815.86</v>
      </c>
      <c r="K91" s="80">
        <f t="shared" si="40"/>
        <v>12638.29</v>
      </c>
      <c r="L91" s="80">
        <f t="shared" si="40"/>
        <v>11582.64</v>
      </c>
      <c r="M91" s="80">
        <f t="shared" si="40"/>
        <v>10181.67</v>
      </c>
      <c r="N91" s="80">
        <f t="shared" si="40"/>
        <v>12117.25</v>
      </c>
      <c r="O91" s="80">
        <f t="shared" si="40"/>
        <v>10119.929999999998</v>
      </c>
      <c r="P91" s="80">
        <f t="shared" si="40"/>
        <v>9940.24</v>
      </c>
      <c r="Q91" s="80">
        <f t="shared" si="40"/>
        <v>0</v>
      </c>
      <c r="R91" s="80">
        <f>SUM(R86:R90)</f>
        <v>121695.56999999999</v>
      </c>
      <c r="S91" s="149">
        <f t="shared" ref="S91:AD91" si="41">SUM(S86:S90)</f>
        <v>10385.969999999999</v>
      </c>
      <c r="T91" s="149">
        <f t="shared" si="41"/>
        <v>21185.829999999998</v>
      </c>
      <c r="U91" s="149">
        <f t="shared" si="41"/>
        <v>31718.059999999998</v>
      </c>
      <c r="V91" s="149">
        <f t="shared" si="41"/>
        <v>44299.69</v>
      </c>
      <c r="W91" s="149">
        <f t="shared" si="41"/>
        <v>55115.549999999996</v>
      </c>
      <c r="X91" s="149">
        <f t="shared" si="41"/>
        <v>67753.840000000011</v>
      </c>
      <c r="Y91" s="149">
        <f t="shared" si="41"/>
        <v>79336.479999999996</v>
      </c>
      <c r="Z91" s="149">
        <f t="shared" si="41"/>
        <v>89518.15</v>
      </c>
      <c r="AA91" s="149">
        <f t="shared" si="41"/>
        <v>101635.4</v>
      </c>
      <c r="AB91" s="149">
        <f t="shared" si="41"/>
        <v>111755.32999999999</v>
      </c>
      <c r="AC91" s="149">
        <f t="shared" si="41"/>
        <v>121695.56999999999</v>
      </c>
      <c r="AD91" s="149">
        <f t="shared" si="41"/>
        <v>121695.56999999999</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c r="F94" s="71">
        <v>942.26</v>
      </c>
      <c r="G94" s="71">
        <v>942.26</v>
      </c>
      <c r="H94" s="71">
        <v>942.26</v>
      </c>
      <c r="I94" s="71">
        <v>942.26</v>
      </c>
      <c r="J94" s="71">
        <v>942.26</v>
      </c>
      <c r="K94" s="71">
        <v>942.26</v>
      </c>
      <c r="L94" s="71">
        <v>942.26</v>
      </c>
      <c r="M94" s="71">
        <v>942.26</v>
      </c>
      <c r="N94" s="71">
        <v>942.26</v>
      </c>
      <c r="O94" s="71">
        <v>942.26</v>
      </c>
      <c r="P94" s="71">
        <v>942.26</v>
      </c>
      <c r="Q94" s="71">
        <v>0</v>
      </c>
      <c r="R94" s="79">
        <f t="shared" ref="R94:R95" si="42">SUM(F94:Q94)</f>
        <v>10364.86</v>
      </c>
      <c r="S94" s="139">
        <f t="shared" ref="S94:S95" si="43">SUM(F94)</f>
        <v>942.26</v>
      </c>
      <c r="T94" s="139">
        <f>SUM($F94:G94)</f>
        <v>1884.52</v>
      </c>
      <c r="U94" s="139">
        <f>SUM($F94:H94)</f>
        <v>2826.7799999999997</v>
      </c>
      <c r="V94" s="139">
        <f>SUM($F94:I94)</f>
        <v>3769.04</v>
      </c>
      <c r="W94" s="139">
        <f>SUM($F94:J94)</f>
        <v>4711.3</v>
      </c>
      <c r="X94" s="139">
        <f>SUM($F94:K94)</f>
        <v>5653.56</v>
      </c>
      <c r="Y94" s="139">
        <f>SUM($F94:L94)</f>
        <v>6595.8200000000006</v>
      </c>
      <c r="Z94" s="139">
        <f>SUM($F94:M94)</f>
        <v>7538.0800000000008</v>
      </c>
      <c r="AA94" s="139">
        <f>SUM($F94:N94)</f>
        <v>8480.34</v>
      </c>
      <c r="AB94" s="139">
        <f>SUM($F94:O94)</f>
        <v>9422.6</v>
      </c>
      <c r="AC94" s="139">
        <f>SUM($F94:P94)</f>
        <v>10364.86</v>
      </c>
      <c r="AD94" s="139">
        <f>SUM($F94:Q94)</f>
        <v>10364.86</v>
      </c>
    </row>
    <row r="95" spans="1:30" x14ac:dyDescent="0.25">
      <c r="A95" s="106">
        <v>90</v>
      </c>
      <c r="C95" s="1" t="s">
        <v>62</v>
      </c>
      <c r="E95" s="101"/>
      <c r="F95" s="71">
        <v>416.66</v>
      </c>
      <c r="G95" s="71">
        <v>416.66</v>
      </c>
      <c r="H95" s="71">
        <v>416.66</v>
      </c>
      <c r="I95" s="71">
        <v>416.66</v>
      </c>
      <c r="J95" s="71">
        <v>416.66</v>
      </c>
      <c r="K95" s="71">
        <v>416.66</v>
      </c>
      <c r="L95" s="71">
        <v>416.66</v>
      </c>
      <c r="M95" s="71">
        <v>416.66</v>
      </c>
      <c r="N95" s="71">
        <v>416.66</v>
      </c>
      <c r="O95" s="71">
        <v>416.66</v>
      </c>
      <c r="P95" s="71">
        <v>416.66</v>
      </c>
      <c r="Q95" s="71">
        <v>0</v>
      </c>
      <c r="R95" s="79">
        <f t="shared" si="42"/>
        <v>4583.2599999999993</v>
      </c>
      <c r="S95" s="139">
        <f t="shared" si="43"/>
        <v>416.66</v>
      </c>
      <c r="T95" s="139">
        <f>SUM($F95:G95)</f>
        <v>833.32</v>
      </c>
      <c r="U95" s="139">
        <f>SUM($F95:H95)</f>
        <v>1249.98</v>
      </c>
      <c r="V95" s="139">
        <f>SUM($F95:I95)</f>
        <v>1666.64</v>
      </c>
      <c r="W95" s="139">
        <f>SUM($F95:J95)</f>
        <v>2083.3000000000002</v>
      </c>
      <c r="X95" s="139">
        <f>SUM($F95:K95)</f>
        <v>2499.96</v>
      </c>
      <c r="Y95" s="139">
        <f>SUM($F95:L95)</f>
        <v>2916.62</v>
      </c>
      <c r="Z95" s="139">
        <f>SUM($F95:M95)</f>
        <v>3333.2799999999997</v>
      </c>
      <c r="AA95" s="139">
        <f>SUM($F95:N95)</f>
        <v>3749.9399999999996</v>
      </c>
      <c r="AB95" s="139">
        <f>SUM($F95:O95)</f>
        <v>4166.5999999999995</v>
      </c>
      <c r="AC95" s="139">
        <f>SUM($F95:P95)</f>
        <v>4583.2599999999993</v>
      </c>
      <c r="AD95" s="139">
        <f>SUM($F95:Q95)</f>
        <v>4583.2599999999993</v>
      </c>
    </row>
    <row r="96" spans="1:30" s="5" customFormat="1" x14ac:dyDescent="0.25">
      <c r="A96" s="106">
        <v>91</v>
      </c>
      <c r="B96" s="33" t="s">
        <v>63</v>
      </c>
      <c r="C96" s="33"/>
      <c r="D96" s="33"/>
      <c r="E96" s="96"/>
      <c r="F96" s="80">
        <f t="shared" ref="F96:Q96" si="44">SUM(F94:F95)</f>
        <v>1358.92</v>
      </c>
      <c r="G96" s="80">
        <f t="shared" si="44"/>
        <v>1358.92</v>
      </c>
      <c r="H96" s="80">
        <f t="shared" si="44"/>
        <v>1358.92</v>
      </c>
      <c r="I96" s="80">
        <f t="shared" si="44"/>
        <v>1358.92</v>
      </c>
      <c r="J96" s="80">
        <f t="shared" si="44"/>
        <v>1358.92</v>
      </c>
      <c r="K96" s="80">
        <f t="shared" si="44"/>
        <v>1358.92</v>
      </c>
      <c r="L96" s="80">
        <f t="shared" si="44"/>
        <v>1358.92</v>
      </c>
      <c r="M96" s="80">
        <f t="shared" si="44"/>
        <v>1358.92</v>
      </c>
      <c r="N96" s="80">
        <f t="shared" si="44"/>
        <v>1358.92</v>
      </c>
      <c r="O96" s="80">
        <f t="shared" si="44"/>
        <v>1358.92</v>
      </c>
      <c r="P96" s="80">
        <f t="shared" si="44"/>
        <v>1358.92</v>
      </c>
      <c r="Q96" s="80">
        <f t="shared" si="44"/>
        <v>0</v>
      </c>
      <c r="R96" s="80">
        <f>SUM(R94:R95)</f>
        <v>14948.119999999999</v>
      </c>
      <c r="S96" s="149">
        <f t="shared" ref="S96:AD96" si="45">SUM(S94:S95)</f>
        <v>1358.92</v>
      </c>
      <c r="T96" s="149">
        <f t="shared" si="45"/>
        <v>2717.84</v>
      </c>
      <c r="U96" s="149">
        <f t="shared" si="45"/>
        <v>4076.7599999999998</v>
      </c>
      <c r="V96" s="149">
        <f t="shared" si="45"/>
        <v>5435.68</v>
      </c>
      <c r="W96" s="149">
        <f t="shared" si="45"/>
        <v>6794.6</v>
      </c>
      <c r="X96" s="149">
        <f t="shared" si="45"/>
        <v>8153.52</v>
      </c>
      <c r="Y96" s="149">
        <f t="shared" si="45"/>
        <v>9512.44</v>
      </c>
      <c r="Z96" s="149">
        <f t="shared" si="45"/>
        <v>10871.36</v>
      </c>
      <c r="AA96" s="149">
        <f t="shared" si="45"/>
        <v>12230.279999999999</v>
      </c>
      <c r="AB96" s="149">
        <f t="shared" si="45"/>
        <v>13589.2</v>
      </c>
      <c r="AC96" s="149">
        <f t="shared" si="45"/>
        <v>14948.119999999999</v>
      </c>
      <c r="AD96" s="149">
        <f t="shared" si="45"/>
        <v>14948.119999999999</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c r="F99" s="71">
        <v>1127.26</v>
      </c>
      <c r="G99" s="71">
        <v>1127.26</v>
      </c>
      <c r="H99" s="71">
        <v>1127.26</v>
      </c>
      <c r="I99" s="71">
        <v>1127.26</v>
      </c>
      <c r="J99" s="71">
        <v>1127.26</v>
      </c>
      <c r="K99" s="71">
        <v>1127.26</v>
      </c>
      <c r="L99" s="71">
        <v>1127.26</v>
      </c>
      <c r="M99" s="71">
        <v>1127.26</v>
      </c>
      <c r="N99" s="71">
        <v>1127.26</v>
      </c>
      <c r="O99" s="71">
        <v>1127.26</v>
      </c>
      <c r="P99" s="71">
        <v>1127.26</v>
      </c>
      <c r="Q99" s="71">
        <v>0</v>
      </c>
      <c r="R99" s="79">
        <f t="shared" ref="R99:R100" si="46">SUM(F99:Q99)</f>
        <v>12399.86</v>
      </c>
      <c r="S99" s="139">
        <f t="shared" ref="S99:S100" si="47">SUM(F99)</f>
        <v>1127.26</v>
      </c>
      <c r="T99" s="139">
        <f>SUM($F99:G99)</f>
        <v>2254.52</v>
      </c>
      <c r="U99" s="139">
        <f>SUM($F99:H99)</f>
        <v>3381.7799999999997</v>
      </c>
      <c r="V99" s="139">
        <f>SUM($F99:I99)</f>
        <v>4509.04</v>
      </c>
      <c r="W99" s="139">
        <f>SUM($F99:J99)</f>
        <v>5636.3</v>
      </c>
      <c r="X99" s="139">
        <f>SUM($F99:K99)</f>
        <v>6763.56</v>
      </c>
      <c r="Y99" s="139">
        <f>SUM($F99:L99)</f>
        <v>7890.8200000000006</v>
      </c>
      <c r="Z99" s="139">
        <f>SUM($F99:M99)</f>
        <v>9018.08</v>
      </c>
      <c r="AA99" s="139">
        <f>SUM($F99:N99)</f>
        <v>10145.34</v>
      </c>
      <c r="AB99" s="139">
        <f>SUM($F99:O99)</f>
        <v>11272.6</v>
      </c>
      <c r="AC99" s="139">
        <f>SUM($F99:P99)</f>
        <v>12399.86</v>
      </c>
      <c r="AD99" s="139">
        <f>SUM($F99:Q99)</f>
        <v>12399.86</v>
      </c>
    </row>
    <row r="100" spans="1:30" x14ac:dyDescent="0.25">
      <c r="A100" s="106">
        <v>95</v>
      </c>
      <c r="C100" s="1" t="s">
        <v>65</v>
      </c>
      <c r="E100" s="100"/>
      <c r="F100" s="71">
        <v>0</v>
      </c>
      <c r="G100" s="71">
        <v>243.75</v>
      </c>
      <c r="H100" s="71">
        <v>0</v>
      </c>
      <c r="I100" s="71">
        <v>0</v>
      </c>
      <c r="J100" s="71">
        <v>168.75</v>
      </c>
      <c r="K100" s="71">
        <v>0</v>
      </c>
      <c r="L100" s="71">
        <v>0</v>
      </c>
      <c r="M100" s="71">
        <v>0</v>
      </c>
      <c r="N100" s="71">
        <v>0</v>
      </c>
      <c r="O100" s="71">
        <v>183.13</v>
      </c>
      <c r="P100" s="71">
        <v>0</v>
      </c>
      <c r="Q100" s="71">
        <v>0</v>
      </c>
      <c r="R100" s="79">
        <f t="shared" si="46"/>
        <v>595.63</v>
      </c>
      <c r="S100" s="139">
        <f t="shared" si="47"/>
        <v>0</v>
      </c>
      <c r="T100" s="139">
        <f>SUM($F100:G100)</f>
        <v>243.75</v>
      </c>
      <c r="U100" s="139">
        <f>SUM($F100:H100)</f>
        <v>243.75</v>
      </c>
      <c r="V100" s="139">
        <f>SUM($F100:I100)</f>
        <v>243.75</v>
      </c>
      <c r="W100" s="139">
        <f>SUM($F100:J100)</f>
        <v>412.5</v>
      </c>
      <c r="X100" s="139">
        <f>SUM($F100:K100)</f>
        <v>412.5</v>
      </c>
      <c r="Y100" s="139">
        <f>SUM($F100:L100)</f>
        <v>412.5</v>
      </c>
      <c r="Z100" s="139">
        <f>SUM($F100:M100)</f>
        <v>412.5</v>
      </c>
      <c r="AA100" s="139">
        <f>SUM($F100:N100)</f>
        <v>412.5</v>
      </c>
      <c r="AB100" s="139">
        <f>SUM($F100:O100)</f>
        <v>595.63</v>
      </c>
      <c r="AC100" s="139">
        <f>SUM($F100:P100)</f>
        <v>595.63</v>
      </c>
      <c r="AD100" s="139">
        <f>SUM($F100:Q100)</f>
        <v>595.63</v>
      </c>
    </row>
    <row r="101" spans="1:30" s="5" customFormat="1" x14ac:dyDescent="0.25">
      <c r="A101" s="106">
        <v>96</v>
      </c>
      <c r="B101" s="33" t="s">
        <v>66</v>
      </c>
      <c r="C101" s="33"/>
      <c r="D101" s="33"/>
      <c r="E101" s="96"/>
      <c r="F101" s="80">
        <f t="shared" ref="F101:Q101" si="48">SUM(F99:F100)</f>
        <v>1127.26</v>
      </c>
      <c r="G101" s="80">
        <f t="shared" si="48"/>
        <v>1371.01</v>
      </c>
      <c r="H101" s="80">
        <f t="shared" si="48"/>
        <v>1127.26</v>
      </c>
      <c r="I101" s="80">
        <f t="shared" si="48"/>
        <v>1127.26</v>
      </c>
      <c r="J101" s="80">
        <f t="shared" si="48"/>
        <v>1296.01</v>
      </c>
      <c r="K101" s="80">
        <f t="shared" si="48"/>
        <v>1127.26</v>
      </c>
      <c r="L101" s="80">
        <f t="shared" si="48"/>
        <v>1127.26</v>
      </c>
      <c r="M101" s="80">
        <f t="shared" si="48"/>
        <v>1127.26</v>
      </c>
      <c r="N101" s="80">
        <f t="shared" si="48"/>
        <v>1127.26</v>
      </c>
      <c r="O101" s="80">
        <f t="shared" si="48"/>
        <v>1310.3899999999999</v>
      </c>
      <c r="P101" s="80">
        <f t="shared" si="48"/>
        <v>1127.26</v>
      </c>
      <c r="Q101" s="80">
        <f t="shared" si="48"/>
        <v>0</v>
      </c>
      <c r="R101" s="80">
        <f>SUM(R99:R100)</f>
        <v>12995.49</v>
      </c>
      <c r="S101" s="149">
        <f t="shared" ref="S101:AD101" si="49">SUM(S99:S100)</f>
        <v>1127.26</v>
      </c>
      <c r="T101" s="149">
        <f t="shared" si="49"/>
        <v>2498.27</v>
      </c>
      <c r="U101" s="149">
        <f t="shared" si="49"/>
        <v>3625.5299999999997</v>
      </c>
      <c r="V101" s="149">
        <f t="shared" si="49"/>
        <v>4752.79</v>
      </c>
      <c r="W101" s="149">
        <f t="shared" si="49"/>
        <v>6048.8</v>
      </c>
      <c r="X101" s="149">
        <f t="shared" si="49"/>
        <v>7176.06</v>
      </c>
      <c r="Y101" s="149">
        <f t="shared" si="49"/>
        <v>8303.32</v>
      </c>
      <c r="Z101" s="149">
        <f t="shared" si="49"/>
        <v>9430.58</v>
      </c>
      <c r="AA101" s="149">
        <f t="shared" si="49"/>
        <v>10557.84</v>
      </c>
      <c r="AB101" s="149">
        <f t="shared" si="49"/>
        <v>11868.23</v>
      </c>
      <c r="AC101" s="149">
        <f t="shared" si="49"/>
        <v>12995.49</v>
      </c>
      <c r="AD101" s="149">
        <f t="shared" si="49"/>
        <v>12995.49</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c r="F104" s="71">
        <v>2770.5</v>
      </c>
      <c r="G104" s="71">
        <v>3055.18</v>
      </c>
      <c r="H104" s="71">
        <v>2912.84</v>
      </c>
      <c r="I104" s="71">
        <v>2912.84</v>
      </c>
      <c r="J104" s="71">
        <v>2912.84</v>
      </c>
      <c r="K104" s="71">
        <v>2912.84</v>
      </c>
      <c r="L104" s="71">
        <v>2912.84</v>
      </c>
      <c r="M104" s="71">
        <v>2912.84</v>
      </c>
      <c r="N104" s="71">
        <v>2912.84</v>
      </c>
      <c r="O104" s="71">
        <v>2912.84</v>
      </c>
      <c r="P104" s="71">
        <v>2912.84</v>
      </c>
      <c r="Q104" s="71">
        <v>0</v>
      </c>
      <c r="R104" s="79">
        <f t="shared" ref="R104:R109" si="50">SUM(F104:Q104)</f>
        <v>32041.24</v>
      </c>
      <c r="S104" s="139">
        <f t="shared" ref="S104:S109" si="51">SUM(F104)</f>
        <v>2770.5</v>
      </c>
      <c r="T104" s="139">
        <f>SUM($F104:G104)</f>
        <v>5825.68</v>
      </c>
      <c r="U104" s="139">
        <f>SUM($F104:H104)</f>
        <v>8738.52</v>
      </c>
      <c r="V104" s="139">
        <f>SUM($F104:I104)</f>
        <v>11651.36</v>
      </c>
      <c r="W104" s="139">
        <f>SUM($F104:J104)</f>
        <v>14564.2</v>
      </c>
      <c r="X104" s="139">
        <f>SUM($F104:K104)</f>
        <v>17477.04</v>
      </c>
      <c r="Y104" s="139">
        <f>SUM($F104:L104)</f>
        <v>20389.88</v>
      </c>
      <c r="Z104" s="139">
        <f>SUM($F104:M104)</f>
        <v>23302.720000000001</v>
      </c>
      <c r="AA104" s="139">
        <f>SUM($F104:N104)</f>
        <v>26215.56</v>
      </c>
      <c r="AB104" s="139">
        <f>SUM($F104:O104)</f>
        <v>29128.400000000001</v>
      </c>
      <c r="AC104" s="139">
        <f>SUM($F104:P104)</f>
        <v>32041.24</v>
      </c>
      <c r="AD104" s="139">
        <f>SUM($F104:Q104)</f>
        <v>32041.24</v>
      </c>
    </row>
    <row r="105" spans="1:30" x14ac:dyDescent="0.25">
      <c r="A105" s="106">
        <v>100</v>
      </c>
      <c r="C105" s="1" t="s">
        <v>56</v>
      </c>
      <c r="E105" s="101"/>
      <c r="F105" s="71">
        <v>396.18</v>
      </c>
      <c r="G105" s="71">
        <v>396.18</v>
      </c>
      <c r="H105" s="71">
        <v>430.64</v>
      </c>
      <c r="I105" s="71">
        <v>416.54</v>
      </c>
      <c r="J105" s="71">
        <v>416.54</v>
      </c>
      <c r="K105" s="71">
        <v>416.54</v>
      </c>
      <c r="L105" s="71">
        <v>416.54</v>
      </c>
      <c r="M105" s="71">
        <v>416.54</v>
      </c>
      <c r="N105" s="71">
        <v>416.54</v>
      </c>
      <c r="O105" s="71">
        <v>416.54</v>
      </c>
      <c r="P105" s="71">
        <v>416.54</v>
      </c>
      <c r="Q105" s="71">
        <v>0</v>
      </c>
      <c r="R105" s="79">
        <f t="shared" si="50"/>
        <v>4555.32</v>
      </c>
      <c r="S105" s="139">
        <f t="shared" si="51"/>
        <v>396.18</v>
      </c>
      <c r="T105" s="139">
        <f>SUM($F105:G105)</f>
        <v>792.36</v>
      </c>
      <c r="U105" s="139">
        <f>SUM($F105:H105)</f>
        <v>1223</v>
      </c>
      <c r="V105" s="139">
        <f>SUM($F105:I105)</f>
        <v>1639.54</v>
      </c>
      <c r="W105" s="139">
        <f>SUM($F105:J105)</f>
        <v>2056.08</v>
      </c>
      <c r="X105" s="139">
        <f>SUM($F105:K105)</f>
        <v>2472.62</v>
      </c>
      <c r="Y105" s="139">
        <f>SUM($F105:L105)</f>
        <v>2889.16</v>
      </c>
      <c r="Z105" s="139">
        <f>SUM($F105:M105)</f>
        <v>3305.7</v>
      </c>
      <c r="AA105" s="139">
        <f>SUM($F105:N105)</f>
        <v>3722.24</v>
      </c>
      <c r="AB105" s="139">
        <f>SUM($F105:O105)</f>
        <v>4138.78</v>
      </c>
      <c r="AC105" s="139">
        <f>SUM($F105:P105)</f>
        <v>4555.32</v>
      </c>
      <c r="AD105" s="139">
        <f>SUM($F105:Q105)</f>
        <v>4555.32</v>
      </c>
    </row>
    <row r="106" spans="1:30" x14ac:dyDescent="0.25">
      <c r="A106" s="106">
        <v>101</v>
      </c>
      <c r="C106" s="1" t="s">
        <v>58</v>
      </c>
      <c r="E106" s="101"/>
      <c r="F106" s="71">
        <v>0</v>
      </c>
      <c r="G106" s="71">
        <v>0</v>
      </c>
      <c r="H106" s="71">
        <v>0</v>
      </c>
      <c r="I106" s="71">
        <v>0</v>
      </c>
      <c r="J106" s="71">
        <v>0</v>
      </c>
      <c r="K106" s="71">
        <v>85</v>
      </c>
      <c r="L106" s="71">
        <v>0</v>
      </c>
      <c r="M106" s="71">
        <v>0</v>
      </c>
      <c r="N106" s="71">
        <v>0</v>
      </c>
      <c r="O106" s="71">
        <v>0</v>
      </c>
      <c r="P106" s="71">
        <v>48.19</v>
      </c>
      <c r="Q106" s="71">
        <v>0</v>
      </c>
      <c r="R106" s="79">
        <f t="shared" si="50"/>
        <v>133.19</v>
      </c>
      <c r="S106" s="139">
        <f t="shared" si="51"/>
        <v>0</v>
      </c>
      <c r="T106" s="139">
        <f>SUM($F106:G106)</f>
        <v>0</v>
      </c>
      <c r="U106" s="139">
        <f>SUM($F106:H106)</f>
        <v>0</v>
      </c>
      <c r="V106" s="139">
        <f>SUM($F106:I106)</f>
        <v>0</v>
      </c>
      <c r="W106" s="139">
        <f>SUM($F106:J106)</f>
        <v>0</v>
      </c>
      <c r="X106" s="139">
        <f>SUM($F106:K106)</f>
        <v>85</v>
      </c>
      <c r="Y106" s="139">
        <f>SUM($F106:L106)</f>
        <v>85</v>
      </c>
      <c r="Z106" s="139">
        <f>SUM($F106:M106)</f>
        <v>85</v>
      </c>
      <c r="AA106" s="139">
        <f>SUM($F106:N106)</f>
        <v>85</v>
      </c>
      <c r="AB106" s="139">
        <f>SUM($F106:O106)</f>
        <v>85</v>
      </c>
      <c r="AC106" s="139">
        <f>SUM($F106:P106)</f>
        <v>133.19</v>
      </c>
      <c r="AD106" s="139">
        <f>SUM($F106:Q106)</f>
        <v>133.19</v>
      </c>
    </row>
    <row r="107" spans="1:30" x14ac:dyDescent="0.25">
      <c r="A107" s="106">
        <v>102</v>
      </c>
      <c r="C107" s="1" t="s">
        <v>57</v>
      </c>
      <c r="E107" s="101"/>
      <c r="F107" s="71">
        <v>296.51</v>
      </c>
      <c r="G107" s="71">
        <v>25</v>
      </c>
      <c r="H107" s="71">
        <v>111.98</v>
      </c>
      <c r="I107" s="71">
        <v>50</v>
      </c>
      <c r="J107" s="71">
        <v>156.83000000000001</v>
      </c>
      <c r="K107" s="71">
        <v>80.900000000000006</v>
      </c>
      <c r="L107" s="71">
        <v>344.62</v>
      </c>
      <c r="M107" s="71">
        <v>146</v>
      </c>
      <c r="N107" s="71">
        <v>245.64</v>
      </c>
      <c r="O107" s="71">
        <v>27.2</v>
      </c>
      <c r="P107" s="71">
        <v>210.4</v>
      </c>
      <c r="Q107" s="71">
        <v>0</v>
      </c>
      <c r="R107" s="79">
        <f t="shared" si="50"/>
        <v>1695.0800000000002</v>
      </c>
      <c r="S107" s="139">
        <f t="shared" si="51"/>
        <v>296.51</v>
      </c>
      <c r="T107" s="139">
        <f>SUM($F107:G107)</f>
        <v>321.51</v>
      </c>
      <c r="U107" s="139">
        <f>SUM($F107:H107)</f>
        <v>433.49</v>
      </c>
      <c r="V107" s="139">
        <f>SUM($F107:I107)</f>
        <v>483.49</v>
      </c>
      <c r="W107" s="139">
        <f>SUM($F107:J107)</f>
        <v>640.32000000000005</v>
      </c>
      <c r="X107" s="139">
        <f>SUM($F107:K107)</f>
        <v>721.22</v>
      </c>
      <c r="Y107" s="139">
        <f>SUM($F107:L107)</f>
        <v>1065.8400000000001</v>
      </c>
      <c r="Z107" s="139">
        <f>SUM($F107:M107)</f>
        <v>1211.8400000000001</v>
      </c>
      <c r="AA107" s="139">
        <f>SUM($F107:N107)</f>
        <v>1457.48</v>
      </c>
      <c r="AB107" s="139">
        <f>SUM($F107:O107)</f>
        <v>1484.68</v>
      </c>
      <c r="AC107" s="139">
        <f>SUM($F107:P107)</f>
        <v>1695.0800000000002</v>
      </c>
      <c r="AD107" s="139">
        <f>SUM($F107:Q107)</f>
        <v>1695.0800000000002</v>
      </c>
    </row>
    <row r="108" spans="1:30" x14ac:dyDescent="0.25">
      <c r="A108" s="106">
        <v>103</v>
      </c>
      <c r="C108" s="1" t="s">
        <v>62</v>
      </c>
      <c r="E108" s="101"/>
      <c r="F108" s="71">
        <v>0</v>
      </c>
      <c r="G108" s="71">
        <v>123.21</v>
      </c>
      <c r="H108" s="71">
        <v>149.30000000000001</v>
      </c>
      <c r="I108" s="71">
        <v>164.84</v>
      </c>
      <c r="J108" s="71">
        <v>131.54</v>
      </c>
      <c r="K108" s="71">
        <v>375.74</v>
      </c>
      <c r="L108" s="71">
        <v>178.71</v>
      </c>
      <c r="M108" s="71">
        <v>0</v>
      </c>
      <c r="N108" s="71">
        <v>114.33</v>
      </c>
      <c r="O108" s="71">
        <v>271.95999999999998</v>
      </c>
      <c r="P108" s="71">
        <v>0</v>
      </c>
      <c r="Q108" s="71">
        <v>0</v>
      </c>
      <c r="R108" s="79">
        <f t="shared" si="50"/>
        <v>1509.6299999999999</v>
      </c>
      <c r="S108" s="139">
        <f t="shared" si="51"/>
        <v>0</v>
      </c>
      <c r="T108" s="139">
        <f>SUM($F108:G108)</f>
        <v>123.21</v>
      </c>
      <c r="U108" s="139">
        <f>SUM($F108:H108)</f>
        <v>272.51</v>
      </c>
      <c r="V108" s="139">
        <f>SUM($F108:I108)</f>
        <v>437.35</v>
      </c>
      <c r="W108" s="139">
        <f>SUM($F108:J108)</f>
        <v>568.89</v>
      </c>
      <c r="X108" s="139">
        <f>SUM($F108:K108)</f>
        <v>944.63</v>
      </c>
      <c r="Y108" s="139">
        <f>SUM($F108:L108)</f>
        <v>1123.3399999999999</v>
      </c>
      <c r="Z108" s="139">
        <f>SUM($F108:M108)</f>
        <v>1123.3399999999999</v>
      </c>
      <c r="AA108" s="139">
        <f>SUM($F108:N108)</f>
        <v>1237.6699999999998</v>
      </c>
      <c r="AB108" s="139">
        <f>SUM($F108:O108)</f>
        <v>1509.6299999999999</v>
      </c>
      <c r="AC108" s="139">
        <f>SUM($F108:P108)</f>
        <v>1509.6299999999999</v>
      </c>
      <c r="AD108" s="139">
        <f>SUM($F108:Q108)</f>
        <v>1509.6299999999999</v>
      </c>
    </row>
    <row r="109" spans="1:30" x14ac:dyDescent="0.25">
      <c r="A109" s="106">
        <v>104</v>
      </c>
      <c r="C109" s="1" t="s">
        <v>68</v>
      </c>
      <c r="E109" s="101"/>
      <c r="F109" s="71">
        <v>92.95</v>
      </c>
      <c r="G109" s="71">
        <v>92.95</v>
      </c>
      <c r="H109" s="71">
        <v>185.9</v>
      </c>
      <c r="I109" s="71">
        <v>92.95</v>
      </c>
      <c r="J109" s="71">
        <v>92.95</v>
      </c>
      <c r="K109" s="71">
        <v>92.95</v>
      </c>
      <c r="L109" s="71">
        <v>92.95</v>
      </c>
      <c r="M109" s="71">
        <v>92.95</v>
      </c>
      <c r="N109" s="71">
        <v>92.95</v>
      </c>
      <c r="O109" s="71">
        <v>92.95</v>
      </c>
      <c r="P109" s="71">
        <v>92.95</v>
      </c>
      <c r="Q109" s="71">
        <v>0</v>
      </c>
      <c r="R109" s="79">
        <f t="shared" si="50"/>
        <v>1115.4000000000003</v>
      </c>
      <c r="S109" s="139">
        <f t="shared" si="51"/>
        <v>92.95</v>
      </c>
      <c r="T109" s="139">
        <f>SUM($F109:G109)</f>
        <v>185.9</v>
      </c>
      <c r="U109" s="139">
        <f>SUM($F109:H109)</f>
        <v>371.8</v>
      </c>
      <c r="V109" s="139">
        <f>SUM($F109:I109)</f>
        <v>464.75</v>
      </c>
      <c r="W109" s="139">
        <f>SUM($F109:J109)</f>
        <v>557.70000000000005</v>
      </c>
      <c r="X109" s="139">
        <f>SUM($F109:K109)</f>
        <v>650.65000000000009</v>
      </c>
      <c r="Y109" s="139">
        <f>SUM($F109:L109)</f>
        <v>743.60000000000014</v>
      </c>
      <c r="Z109" s="139">
        <f>SUM($F109:M109)</f>
        <v>836.55000000000018</v>
      </c>
      <c r="AA109" s="139">
        <f>SUM($F109:N109)</f>
        <v>929.50000000000023</v>
      </c>
      <c r="AB109" s="139">
        <f>SUM($F109:O109)</f>
        <v>1022.4500000000003</v>
      </c>
      <c r="AC109" s="139">
        <f>SUM($F109:P109)</f>
        <v>1115.4000000000003</v>
      </c>
      <c r="AD109" s="139">
        <f>SUM($F109:Q109)</f>
        <v>1115.4000000000003</v>
      </c>
    </row>
    <row r="110" spans="1:30" s="5" customFormat="1" x14ac:dyDescent="0.25">
      <c r="A110" s="106">
        <v>105</v>
      </c>
      <c r="B110" s="33" t="s">
        <v>69</v>
      </c>
      <c r="C110" s="33"/>
      <c r="D110" s="33"/>
      <c r="E110" s="96"/>
      <c r="F110" s="80">
        <f t="shared" ref="F110:Q110" si="52">SUM(F104:F109)</f>
        <v>3556.1399999999994</v>
      </c>
      <c r="G110" s="80">
        <f t="shared" si="52"/>
        <v>3692.5199999999995</v>
      </c>
      <c r="H110" s="80">
        <f t="shared" si="52"/>
        <v>3790.6600000000003</v>
      </c>
      <c r="I110" s="80">
        <f t="shared" si="52"/>
        <v>3637.17</v>
      </c>
      <c r="J110" s="80">
        <f t="shared" si="52"/>
        <v>3710.7</v>
      </c>
      <c r="K110" s="80">
        <f t="shared" si="52"/>
        <v>3963.9700000000003</v>
      </c>
      <c r="L110" s="80">
        <f t="shared" si="52"/>
        <v>3945.66</v>
      </c>
      <c r="M110" s="80">
        <f t="shared" si="52"/>
        <v>3568.33</v>
      </c>
      <c r="N110" s="80">
        <f t="shared" si="52"/>
        <v>3782.2999999999997</v>
      </c>
      <c r="O110" s="80">
        <f t="shared" si="52"/>
        <v>3721.49</v>
      </c>
      <c r="P110" s="80">
        <f t="shared" si="52"/>
        <v>3680.92</v>
      </c>
      <c r="Q110" s="80">
        <f t="shared" si="52"/>
        <v>0</v>
      </c>
      <c r="R110" s="80">
        <f>SUM(R104:R109)</f>
        <v>41049.86</v>
      </c>
      <c r="S110" s="149">
        <f t="shared" ref="S110:AD110" si="53">SUM(S104:S109)</f>
        <v>3556.1399999999994</v>
      </c>
      <c r="T110" s="149">
        <f t="shared" si="53"/>
        <v>7248.66</v>
      </c>
      <c r="U110" s="149">
        <f t="shared" si="53"/>
        <v>11039.32</v>
      </c>
      <c r="V110" s="149">
        <f t="shared" si="53"/>
        <v>14676.490000000002</v>
      </c>
      <c r="W110" s="149">
        <f t="shared" si="53"/>
        <v>18387.189999999999</v>
      </c>
      <c r="X110" s="149">
        <f t="shared" si="53"/>
        <v>22351.160000000003</v>
      </c>
      <c r="Y110" s="149">
        <f t="shared" si="53"/>
        <v>26296.82</v>
      </c>
      <c r="Z110" s="149">
        <f t="shared" si="53"/>
        <v>29865.15</v>
      </c>
      <c r="AA110" s="149">
        <f t="shared" si="53"/>
        <v>33647.450000000004</v>
      </c>
      <c r="AB110" s="149">
        <f t="shared" si="53"/>
        <v>37368.939999999995</v>
      </c>
      <c r="AC110" s="149">
        <f t="shared" si="53"/>
        <v>41049.86</v>
      </c>
      <c r="AD110" s="149">
        <f t="shared" si="53"/>
        <v>41049.86</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c r="F113" s="71">
        <v>798.34</v>
      </c>
      <c r="G113" s="71">
        <v>798.34</v>
      </c>
      <c r="H113" s="71">
        <v>798.34</v>
      </c>
      <c r="I113" s="71">
        <v>798.34</v>
      </c>
      <c r="J113" s="71">
        <v>798.34</v>
      </c>
      <c r="K113" s="71">
        <v>798.34</v>
      </c>
      <c r="L113" s="71">
        <v>798.34</v>
      </c>
      <c r="M113" s="71">
        <v>798.34</v>
      </c>
      <c r="N113" s="71">
        <v>798.34</v>
      </c>
      <c r="O113" s="71">
        <v>798.34</v>
      </c>
      <c r="P113" s="71">
        <v>798.34</v>
      </c>
      <c r="Q113" s="71">
        <v>0</v>
      </c>
      <c r="R113" s="79">
        <f t="shared" ref="R113:R118" si="54">SUM(F113:Q113)</f>
        <v>8781.74</v>
      </c>
      <c r="S113" s="139">
        <f t="shared" ref="S113:S118" si="55">SUM(F113)</f>
        <v>798.34</v>
      </c>
      <c r="T113" s="139">
        <f>SUM($F113:G113)</f>
        <v>1596.68</v>
      </c>
      <c r="U113" s="139">
        <f>SUM($F113:H113)</f>
        <v>2395.02</v>
      </c>
      <c r="V113" s="139">
        <f>SUM($F113:I113)</f>
        <v>3193.36</v>
      </c>
      <c r="W113" s="139">
        <f>SUM($F113:J113)</f>
        <v>3991.7000000000003</v>
      </c>
      <c r="X113" s="139">
        <f>SUM($F113:K113)</f>
        <v>4790.04</v>
      </c>
      <c r="Y113" s="139">
        <f>SUM($F113:L113)</f>
        <v>5588.38</v>
      </c>
      <c r="Z113" s="139">
        <f>SUM($F113:M113)</f>
        <v>6386.72</v>
      </c>
      <c r="AA113" s="139">
        <f>SUM($F113:N113)</f>
        <v>7185.06</v>
      </c>
      <c r="AB113" s="139">
        <f>SUM($F113:O113)</f>
        <v>7983.4000000000005</v>
      </c>
      <c r="AC113" s="139">
        <f>SUM($F113:P113)</f>
        <v>8781.74</v>
      </c>
      <c r="AD113" s="139">
        <f>SUM($F113:Q113)</f>
        <v>8781.74</v>
      </c>
    </row>
    <row r="114" spans="1:30" x14ac:dyDescent="0.25">
      <c r="A114" s="106">
        <v>109</v>
      </c>
      <c r="C114" s="1" t="s">
        <v>72</v>
      </c>
      <c r="E114" s="101"/>
      <c r="F114" s="71">
        <v>0</v>
      </c>
      <c r="G114" s="71">
        <v>0</v>
      </c>
      <c r="H114" s="71">
        <v>0</v>
      </c>
      <c r="I114" s="71">
        <v>0</v>
      </c>
      <c r="J114" s="71">
        <v>100</v>
      </c>
      <c r="K114" s="71">
        <v>0</v>
      </c>
      <c r="L114" s="71">
        <v>0</v>
      </c>
      <c r="M114" s="71">
        <v>100</v>
      </c>
      <c r="N114" s="71">
        <v>100</v>
      </c>
      <c r="O114" s="71">
        <v>0</v>
      </c>
      <c r="P114" s="71">
        <v>0</v>
      </c>
      <c r="Q114" s="71">
        <v>0</v>
      </c>
      <c r="R114" s="79">
        <f t="shared" si="54"/>
        <v>300</v>
      </c>
      <c r="S114" s="139">
        <f t="shared" si="55"/>
        <v>0</v>
      </c>
      <c r="T114" s="139">
        <f>SUM($F114:G114)</f>
        <v>0</v>
      </c>
      <c r="U114" s="139">
        <f>SUM($F114:H114)</f>
        <v>0</v>
      </c>
      <c r="V114" s="139">
        <f>SUM($F114:I114)</f>
        <v>0</v>
      </c>
      <c r="W114" s="139">
        <f>SUM($F114:J114)</f>
        <v>100</v>
      </c>
      <c r="X114" s="139">
        <f>SUM($F114:K114)</f>
        <v>100</v>
      </c>
      <c r="Y114" s="139">
        <f>SUM($F114:L114)</f>
        <v>100</v>
      </c>
      <c r="Z114" s="139">
        <f>SUM($F114:M114)</f>
        <v>200</v>
      </c>
      <c r="AA114" s="139">
        <f>SUM($F114:N114)</f>
        <v>300</v>
      </c>
      <c r="AB114" s="139">
        <f>SUM($F114:O114)</f>
        <v>300</v>
      </c>
      <c r="AC114" s="139">
        <f>SUM($F114:P114)</f>
        <v>300</v>
      </c>
      <c r="AD114" s="139">
        <f>SUM($F114:Q114)</f>
        <v>300</v>
      </c>
    </row>
    <row r="115" spans="1:30" x14ac:dyDescent="0.25">
      <c r="A115" s="106">
        <v>110</v>
      </c>
      <c r="C115" s="1" t="s">
        <v>73</v>
      </c>
      <c r="E115" s="101"/>
      <c r="F115" s="71">
        <v>1530.48</v>
      </c>
      <c r="G115" s="71">
        <v>1405.48</v>
      </c>
      <c r="H115" s="71">
        <v>1405.48</v>
      </c>
      <c r="I115" s="71">
        <v>1605.48</v>
      </c>
      <c r="J115" s="71">
        <v>1605.48</v>
      </c>
      <c r="K115" s="71">
        <v>1455.48</v>
      </c>
      <c r="L115" s="71">
        <v>1830.48</v>
      </c>
      <c r="M115" s="71">
        <v>1405.48</v>
      </c>
      <c r="N115" s="71">
        <v>1605.48</v>
      </c>
      <c r="O115" s="71">
        <v>1405.48</v>
      </c>
      <c r="P115" s="71">
        <v>1455.48</v>
      </c>
      <c r="Q115" s="71">
        <v>0</v>
      </c>
      <c r="R115" s="79">
        <f t="shared" si="54"/>
        <v>16710.28</v>
      </c>
      <c r="S115" s="139">
        <f t="shared" si="55"/>
        <v>1530.48</v>
      </c>
      <c r="T115" s="139">
        <f>SUM($F115:G115)</f>
        <v>2935.96</v>
      </c>
      <c r="U115" s="139">
        <f>SUM($F115:H115)</f>
        <v>4341.4400000000005</v>
      </c>
      <c r="V115" s="139">
        <f>SUM($F115:I115)</f>
        <v>5946.92</v>
      </c>
      <c r="W115" s="139">
        <f>SUM($F115:J115)</f>
        <v>7552.4</v>
      </c>
      <c r="X115" s="139">
        <f>SUM($F115:K115)</f>
        <v>9007.8799999999992</v>
      </c>
      <c r="Y115" s="139">
        <f>SUM($F115:L115)</f>
        <v>10838.359999999999</v>
      </c>
      <c r="Z115" s="139">
        <f>SUM($F115:M115)</f>
        <v>12243.839999999998</v>
      </c>
      <c r="AA115" s="139">
        <f>SUM($F115:N115)</f>
        <v>13849.319999999998</v>
      </c>
      <c r="AB115" s="139">
        <f>SUM($F115:O115)</f>
        <v>15254.799999999997</v>
      </c>
      <c r="AC115" s="139">
        <f>SUM($F115:P115)</f>
        <v>16710.28</v>
      </c>
      <c r="AD115" s="139">
        <f>SUM($F115:Q115)</f>
        <v>16710.28</v>
      </c>
    </row>
    <row r="116" spans="1:30" x14ac:dyDescent="0.25">
      <c r="A116" s="106">
        <v>111</v>
      </c>
      <c r="C116" s="1" t="s">
        <v>74</v>
      </c>
      <c r="E116" s="101"/>
      <c r="F116" s="71">
        <v>658.1</v>
      </c>
      <c r="G116" s="71">
        <v>658.1</v>
      </c>
      <c r="H116" s="71">
        <v>658.1</v>
      </c>
      <c r="I116" s="71">
        <v>658.1</v>
      </c>
      <c r="J116" s="71">
        <v>658.1</v>
      </c>
      <c r="K116" s="71">
        <v>658.1</v>
      </c>
      <c r="L116" s="71">
        <v>0</v>
      </c>
      <c r="M116" s="71">
        <v>0</v>
      </c>
      <c r="N116" s="71">
        <v>658.1</v>
      </c>
      <c r="O116" s="71">
        <v>658.1</v>
      </c>
      <c r="P116" s="71">
        <v>658.1</v>
      </c>
      <c r="Q116" s="71">
        <v>0</v>
      </c>
      <c r="R116" s="79">
        <f t="shared" si="54"/>
        <v>5922.9000000000005</v>
      </c>
      <c r="S116" s="139">
        <f t="shared" si="55"/>
        <v>658.1</v>
      </c>
      <c r="T116" s="139">
        <f>SUM($F116:G116)</f>
        <v>1316.2</v>
      </c>
      <c r="U116" s="139">
        <f>SUM($F116:H116)</f>
        <v>1974.3000000000002</v>
      </c>
      <c r="V116" s="139">
        <f>SUM($F116:I116)</f>
        <v>2632.4</v>
      </c>
      <c r="W116" s="139">
        <f>SUM($F116:J116)</f>
        <v>3290.5</v>
      </c>
      <c r="X116" s="139">
        <f>SUM($F116:K116)</f>
        <v>3948.6</v>
      </c>
      <c r="Y116" s="139">
        <f>SUM($F116:L116)</f>
        <v>3948.6</v>
      </c>
      <c r="Z116" s="139">
        <f>SUM($F116:M116)</f>
        <v>3948.6</v>
      </c>
      <c r="AA116" s="139">
        <f>SUM($F116:N116)</f>
        <v>4606.7</v>
      </c>
      <c r="AB116" s="139">
        <f>SUM($F116:O116)</f>
        <v>5264.8</v>
      </c>
      <c r="AC116" s="139">
        <f>SUM($F116:P116)</f>
        <v>5922.9000000000005</v>
      </c>
      <c r="AD116" s="139">
        <f>SUM($F116:Q116)</f>
        <v>5922.9000000000005</v>
      </c>
    </row>
    <row r="117" spans="1:30" x14ac:dyDescent="0.25">
      <c r="A117" s="106">
        <v>112</v>
      </c>
      <c r="C117" s="1" t="s">
        <v>75</v>
      </c>
      <c r="E117" s="101"/>
      <c r="F117" s="71">
        <v>141.44999999999999</v>
      </c>
      <c r="G117" s="71">
        <v>141.44999999999999</v>
      </c>
      <c r="H117" s="71">
        <v>141.44999999999999</v>
      </c>
      <c r="I117" s="71">
        <v>141.44999999999999</v>
      </c>
      <c r="J117" s="71">
        <v>141.44999999999999</v>
      </c>
      <c r="K117" s="71">
        <v>141.44999999999999</v>
      </c>
      <c r="L117" s="71">
        <v>141.44999999999999</v>
      </c>
      <c r="M117" s="71">
        <v>141.44999999999999</v>
      </c>
      <c r="N117" s="71">
        <v>141.44999999999999</v>
      </c>
      <c r="O117" s="71">
        <v>141.44999999999999</v>
      </c>
      <c r="P117" s="71">
        <v>141.44999999999999</v>
      </c>
      <c r="Q117" s="71">
        <v>0</v>
      </c>
      <c r="R117" s="79">
        <f t="shared" si="54"/>
        <v>1555.9500000000003</v>
      </c>
      <c r="S117" s="139">
        <f t="shared" si="55"/>
        <v>141.44999999999999</v>
      </c>
      <c r="T117" s="139">
        <f>SUM($F117:G117)</f>
        <v>282.89999999999998</v>
      </c>
      <c r="U117" s="139">
        <f>SUM($F117:H117)</f>
        <v>424.34999999999997</v>
      </c>
      <c r="V117" s="139">
        <f>SUM($F117:I117)</f>
        <v>565.79999999999995</v>
      </c>
      <c r="W117" s="139">
        <f>SUM($F117:J117)</f>
        <v>707.25</v>
      </c>
      <c r="X117" s="139">
        <f>SUM($F117:K117)</f>
        <v>848.7</v>
      </c>
      <c r="Y117" s="139">
        <f>SUM($F117:L117)</f>
        <v>990.15000000000009</v>
      </c>
      <c r="Z117" s="139">
        <f>SUM($F117:M117)</f>
        <v>1131.6000000000001</v>
      </c>
      <c r="AA117" s="139">
        <f>SUM($F117:N117)</f>
        <v>1273.0500000000002</v>
      </c>
      <c r="AB117" s="139">
        <f>SUM($F117:O117)</f>
        <v>1414.5000000000002</v>
      </c>
      <c r="AC117" s="139">
        <f>SUM($F117:P117)</f>
        <v>1555.9500000000003</v>
      </c>
      <c r="AD117" s="139">
        <f>SUM($F117:Q117)</f>
        <v>1555.9500000000003</v>
      </c>
    </row>
    <row r="118" spans="1:30" x14ac:dyDescent="0.25">
      <c r="A118" s="106">
        <v>113</v>
      </c>
      <c r="C118" s="1" t="s">
        <v>76</v>
      </c>
      <c r="E118" s="101"/>
      <c r="F118" s="71">
        <v>200</v>
      </c>
      <c r="G118" s="71">
        <v>200</v>
      </c>
      <c r="H118" s="71">
        <v>200</v>
      </c>
      <c r="I118" s="71">
        <v>200</v>
      </c>
      <c r="J118" s="71">
        <v>200</v>
      </c>
      <c r="K118" s="71">
        <v>200</v>
      </c>
      <c r="L118" s="71">
        <v>200</v>
      </c>
      <c r="M118" s="71">
        <v>200</v>
      </c>
      <c r="N118" s="71">
        <v>200</v>
      </c>
      <c r="O118" s="71">
        <v>200</v>
      </c>
      <c r="P118" s="71">
        <v>200</v>
      </c>
      <c r="Q118" s="71">
        <v>0</v>
      </c>
      <c r="R118" s="79">
        <f t="shared" si="54"/>
        <v>2200</v>
      </c>
      <c r="S118" s="139">
        <f t="shared" si="55"/>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2200</v>
      </c>
    </row>
    <row r="119" spans="1:30" s="5" customFormat="1" x14ac:dyDescent="0.25">
      <c r="A119" s="106">
        <v>114</v>
      </c>
      <c r="B119" s="33" t="s">
        <v>77</v>
      </c>
      <c r="C119" s="33"/>
      <c r="D119" s="33"/>
      <c r="E119" s="96"/>
      <c r="F119" s="80">
        <f t="shared" ref="F119:Q119" si="56">SUM(F113:F118)</f>
        <v>3328.37</v>
      </c>
      <c r="G119" s="80">
        <f t="shared" si="56"/>
        <v>3203.37</v>
      </c>
      <c r="H119" s="80">
        <f t="shared" si="56"/>
        <v>3203.37</v>
      </c>
      <c r="I119" s="80">
        <f t="shared" si="56"/>
        <v>3403.37</v>
      </c>
      <c r="J119" s="80">
        <f t="shared" si="56"/>
        <v>3503.37</v>
      </c>
      <c r="K119" s="80">
        <f t="shared" si="56"/>
        <v>3253.37</v>
      </c>
      <c r="L119" s="80">
        <f t="shared" si="56"/>
        <v>2970.27</v>
      </c>
      <c r="M119" s="80">
        <f t="shared" si="56"/>
        <v>2645.27</v>
      </c>
      <c r="N119" s="80">
        <f t="shared" si="56"/>
        <v>3503.37</v>
      </c>
      <c r="O119" s="80">
        <f t="shared" si="56"/>
        <v>3203.37</v>
      </c>
      <c r="P119" s="80">
        <f t="shared" si="56"/>
        <v>3253.37</v>
      </c>
      <c r="Q119" s="80">
        <f t="shared" si="56"/>
        <v>0</v>
      </c>
      <c r="R119" s="80">
        <f>SUM(R113:R118)</f>
        <v>35470.869999999995</v>
      </c>
      <c r="S119" s="149">
        <f t="shared" ref="S119:AD119" si="57">SUM(S113:S118)</f>
        <v>3328.37</v>
      </c>
      <c r="T119" s="149">
        <f t="shared" si="57"/>
        <v>6531.74</v>
      </c>
      <c r="U119" s="149">
        <f t="shared" si="57"/>
        <v>9735.1100000000024</v>
      </c>
      <c r="V119" s="149">
        <f t="shared" si="57"/>
        <v>13138.48</v>
      </c>
      <c r="W119" s="149">
        <f t="shared" si="57"/>
        <v>16641.849999999999</v>
      </c>
      <c r="X119" s="149">
        <f t="shared" si="57"/>
        <v>19895.219999999998</v>
      </c>
      <c r="Y119" s="149">
        <f t="shared" si="57"/>
        <v>22865.489999999998</v>
      </c>
      <c r="Z119" s="149">
        <f t="shared" si="57"/>
        <v>25510.759999999995</v>
      </c>
      <c r="AA119" s="149">
        <f t="shared" si="57"/>
        <v>29014.129999999997</v>
      </c>
      <c r="AB119" s="149">
        <f t="shared" si="57"/>
        <v>32217.499999999996</v>
      </c>
      <c r="AC119" s="149">
        <f t="shared" si="57"/>
        <v>35470.869999999995</v>
      </c>
      <c r="AD119" s="149">
        <f t="shared" si="57"/>
        <v>35470.869999999995</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c r="F122" s="71">
        <v>1352.79</v>
      </c>
      <c r="G122" s="71">
        <v>1012.67</v>
      </c>
      <c r="H122" s="71">
        <v>1733.42</v>
      </c>
      <c r="I122" s="71">
        <v>844.41</v>
      </c>
      <c r="J122" s="71">
        <v>1308.8</v>
      </c>
      <c r="K122" s="71">
        <v>711.68</v>
      </c>
      <c r="L122" s="71">
        <v>868.35</v>
      </c>
      <c r="M122" s="71">
        <v>816.41</v>
      </c>
      <c r="N122" s="71">
        <v>789.83</v>
      </c>
      <c r="O122" s="71">
        <v>1261.05</v>
      </c>
      <c r="P122" s="71">
        <v>991.48</v>
      </c>
      <c r="Q122" s="71">
        <v>0</v>
      </c>
      <c r="R122" s="79">
        <f t="shared" ref="R122:R131" si="58">SUM(F122:Q122)</f>
        <v>11690.89</v>
      </c>
      <c r="S122" s="139">
        <f t="shared" ref="S122:S131" si="59">SUM(F122)</f>
        <v>1352.79</v>
      </c>
      <c r="T122" s="139">
        <f>SUM($F122:G122)</f>
        <v>2365.46</v>
      </c>
      <c r="U122" s="139">
        <f>SUM($F122:H122)</f>
        <v>4098.88</v>
      </c>
      <c r="V122" s="139">
        <f>SUM($F122:I122)</f>
        <v>4943.29</v>
      </c>
      <c r="W122" s="139">
        <f>SUM($F122:J122)</f>
        <v>6252.09</v>
      </c>
      <c r="X122" s="139">
        <f>SUM($F122:K122)</f>
        <v>6963.77</v>
      </c>
      <c r="Y122" s="139">
        <f>SUM($F122:L122)</f>
        <v>7832.1200000000008</v>
      </c>
      <c r="Z122" s="139">
        <f>SUM($F122:M122)</f>
        <v>8648.5300000000007</v>
      </c>
      <c r="AA122" s="139">
        <f>SUM($F122:N122)</f>
        <v>9438.36</v>
      </c>
      <c r="AB122" s="139">
        <f>SUM($F122:O122)</f>
        <v>10699.41</v>
      </c>
      <c r="AC122" s="139">
        <f>SUM($F122:P122)</f>
        <v>11690.89</v>
      </c>
      <c r="AD122" s="139">
        <f>SUM($F122:Q122)</f>
        <v>11690.89</v>
      </c>
    </row>
    <row r="123" spans="1:30" x14ac:dyDescent="0.25">
      <c r="A123" s="106">
        <v>118</v>
      </c>
      <c r="C123" s="1" t="s">
        <v>80</v>
      </c>
      <c r="E123" s="101"/>
      <c r="F123" s="71">
        <v>2980.93</v>
      </c>
      <c r="G123" s="71">
        <v>2479.64</v>
      </c>
      <c r="H123" s="71">
        <v>2793.4</v>
      </c>
      <c r="I123" s="71">
        <v>2978.19</v>
      </c>
      <c r="J123" s="71">
        <v>4441.96</v>
      </c>
      <c r="K123" s="71">
        <v>2325.19</v>
      </c>
      <c r="L123" s="71">
        <v>2282.67</v>
      </c>
      <c r="M123" s="71">
        <v>2585.79</v>
      </c>
      <c r="N123" s="71">
        <v>2475.85</v>
      </c>
      <c r="O123" s="71">
        <v>3658.2</v>
      </c>
      <c r="P123" s="71">
        <v>2463.33</v>
      </c>
      <c r="Q123" s="71">
        <v>0</v>
      </c>
      <c r="R123" s="79">
        <f t="shared" si="58"/>
        <v>31465.149999999994</v>
      </c>
      <c r="S123" s="139">
        <f t="shared" si="59"/>
        <v>2980.93</v>
      </c>
      <c r="T123" s="139">
        <f>SUM($F123:G123)</f>
        <v>5460.57</v>
      </c>
      <c r="U123" s="139">
        <f>SUM($F123:H123)</f>
        <v>8253.9699999999993</v>
      </c>
      <c r="V123" s="139">
        <f>SUM($F123:I123)</f>
        <v>11232.16</v>
      </c>
      <c r="W123" s="139">
        <f>SUM($F123:J123)</f>
        <v>15674.119999999999</v>
      </c>
      <c r="X123" s="139">
        <f>SUM($F123:K123)</f>
        <v>17999.309999999998</v>
      </c>
      <c r="Y123" s="139">
        <f>SUM($F123:L123)</f>
        <v>20281.979999999996</v>
      </c>
      <c r="Z123" s="139">
        <f>SUM($F123:M123)</f>
        <v>22867.769999999997</v>
      </c>
      <c r="AA123" s="139">
        <f>SUM($F123:N123)</f>
        <v>25343.619999999995</v>
      </c>
      <c r="AB123" s="139">
        <f>SUM($F123:O123)</f>
        <v>29001.819999999996</v>
      </c>
      <c r="AC123" s="139">
        <f>SUM($F123:P123)</f>
        <v>31465.149999999994</v>
      </c>
      <c r="AD123" s="139">
        <f>SUM($F123:Q123)</f>
        <v>31465.149999999994</v>
      </c>
    </row>
    <row r="124" spans="1:30" x14ac:dyDescent="0.25">
      <c r="A124" s="106">
        <v>119</v>
      </c>
      <c r="C124" s="1" t="s">
        <v>81</v>
      </c>
      <c r="E124" s="101"/>
      <c r="F124" s="71">
        <v>153.81</v>
      </c>
      <c r="G124" s="71">
        <v>0</v>
      </c>
      <c r="H124" s="71">
        <v>25.03</v>
      </c>
      <c r="I124" s="71">
        <v>0</v>
      </c>
      <c r="J124" s="71">
        <v>12.09</v>
      </c>
      <c r="K124" s="71">
        <v>73.739999999999995</v>
      </c>
      <c r="L124" s="71">
        <v>0</v>
      </c>
      <c r="M124" s="71">
        <v>0</v>
      </c>
      <c r="N124" s="71">
        <v>71.95</v>
      </c>
      <c r="O124" s="71">
        <v>50</v>
      </c>
      <c r="P124" s="71">
        <v>0</v>
      </c>
      <c r="Q124" s="71">
        <v>0</v>
      </c>
      <c r="R124" s="79">
        <f t="shared" si="58"/>
        <v>386.62</v>
      </c>
      <c r="S124" s="139">
        <f t="shared" si="59"/>
        <v>153.81</v>
      </c>
      <c r="T124" s="139">
        <f>SUM($F124:G124)</f>
        <v>153.81</v>
      </c>
      <c r="U124" s="139">
        <f>SUM($F124:H124)</f>
        <v>178.84</v>
      </c>
      <c r="V124" s="139">
        <f>SUM($F124:I124)</f>
        <v>178.84</v>
      </c>
      <c r="W124" s="139">
        <f>SUM($F124:J124)</f>
        <v>190.93</v>
      </c>
      <c r="X124" s="139">
        <f>SUM($F124:K124)</f>
        <v>264.67</v>
      </c>
      <c r="Y124" s="139">
        <f>SUM($F124:L124)</f>
        <v>264.67</v>
      </c>
      <c r="Z124" s="139">
        <f>SUM($F124:M124)</f>
        <v>264.67</v>
      </c>
      <c r="AA124" s="139">
        <f>SUM($F124:N124)</f>
        <v>336.62</v>
      </c>
      <c r="AB124" s="139">
        <f>SUM($F124:O124)</f>
        <v>386.62</v>
      </c>
      <c r="AC124" s="139">
        <f>SUM($F124:P124)</f>
        <v>386.62</v>
      </c>
      <c r="AD124" s="139">
        <f>SUM($F124:Q124)</f>
        <v>386.62</v>
      </c>
    </row>
    <row r="125" spans="1:30" x14ac:dyDescent="0.25">
      <c r="A125" s="106">
        <v>120</v>
      </c>
      <c r="C125" s="1" t="s">
        <v>82</v>
      </c>
      <c r="E125" s="101"/>
      <c r="F125" s="71">
        <v>0</v>
      </c>
      <c r="G125" s="71">
        <v>0</v>
      </c>
      <c r="H125" s="71">
        <v>0</v>
      </c>
      <c r="I125" s="71">
        <v>-600</v>
      </c>
      <c r="J125" s="71">
        <v>0</v>
      </c>
      <c r="K125" s="71">
        <v>0</v>
      </c>
      <c r="L125" s="71">
        <v>0</v>
      </c>
      <c r="M125" s="71">
        <v>0</v>
      </c>
      <c r="N125" s="71">
        <v>0</v>
      </c>
      <c r="O125" s="71">
        <v>0</v>
      </c>
      <c r="P125" s="71">
        <v>0</v>
      </c>
      <c r="Q125" s="71">
        <v>0</v>
      </c>
      <c r="R125" s="79">
        <f t="shared" si="58"/>
        <v>-600</v>
      </c>
      <c r="S125" s="139">
        <f t="shared" si="59"/>
        <v>0</v>
      </c>
      <c r="T125" s="139">
        <f>SUM($F125:G125)</f>
        <v>0</v>
      </c>
      <c r="U125" s="139">
        <f>SUM($F125:H125)</f>
        <v>0</v>
      </c>
      <c r="V125" s="139">
        <f>SUM($F125:I125)</f>
        <v>-600</v>
      </c>
      <c r="W125" s="139">
        <f>SUM($F125:J125)</f>
        <v>-600</v>
      </c>
      <c r="X125" s="139">
        <f>SUM($F125:K125)</f>
        <v>-600</v>
      </c>
      <c r="Y125" s="139">
        <f>SUM($F125:L125)</f>
        <v>-600</v>
      </c>
      <c r="Z125" s="139">
        <f>SUM($F125:M125)</f>
        <v>-600</v>
      </c>
      <c r="AA125" s="139">
        <f>SUM($F125:N125)</f>
        <v>-600</v>
      </c>
      <c r="AB125" s="139">
        <f>SUM($F125:O125)</f>
        <v>-600</v>
      </c>
      <c r="AC125" s="139">
        <f>SUM($F125:P125)</f>
        <v>-600</v>
      </c>
      <c r="AD125" s="139">
        <f>SUM($F125:Q125)</f>
        <v>-600</v>
      </c>
    </row>
    <row r="126" spans="1:30" x14ac:dyDescent="0.25">
      <c r="A126" s="106">
        <v>121</v>
      </c>
      <c r="C126" s="1" t="s">
        <v>83</v>
      </c>
      <c r="E126" s="101"/>
      <c r="F126" s="71">
        <v>96.63</v>
      </c>
      <c r="G126" s="71">
        <v>121.25</v>
      </c>
      <c r="H126" s="71">
        <v>123.76</v>
      </c>
      <c r="I126" s="71">
        <v>60.88</v>
      </c>
      <c r="J126" s="71">
        <v>149.01</v>
      </c>
      <c r="K126" s="71">
        <v>0</v>
      </c>
      <c r="L126" s="71">
        <v>0</v>
      </c>
      <c r="M126" s="71">
        <v>0</v>
      </c>
      <c r="N126" s="71">
        <v>0</v>
      </c>
      <c r="O126" s="71">
        <v>0</v>
      </c>
      <c r="P126" s="71">
        <v>0</v>
      </c>
      <c r="Q126" s="71">
        <v>0</v>
      </c>
      <c r="R126" s="79">
        <f t="shared" si="58"/>
        <v>551.53</v>
      </c>
      <c r="S126" s="139">
        <f t="shared" si="59"/>
        <v>96.63</v>
      </c>
      <c r="T126" s="139">
        <f>SUM($F126:G126)</f>
        <v>217.88</v>
      </c>
      <c r="U126" s="139">
        <f>SUM($F126:H126)</f>
        <v>341.64</v>
      </c>
      <c r="V126" s="139">
        <f>SUM($F126:I126)</f>
        <v>402.52</v>
      </c>
      <c r="W126" s="139">
        <f>SUM($F126:J126)</f>
        <v>551.53</v>
      </c>
      <c r="X126" s="139">
        <f>SUM($F126:K126)</f>
        <v>551.53</v>
      </c>
      <c r="Y126" s="139">
        <f>SUM($F126:L126)</f>
        <v>551.53</v>
      </c>
      <c r="Z126" s="139">
        <f>SUM($F126:M126)</f>
        <v>551.53</v>
      </c>
      <c r="AA126" s="139">
        <f>SUM($F126:N126)</f>
        <v>551.53</v>
      </c>
      <c r="AB126" s="139">
        <f>SUM($F126:O126)</f>
        <v>551.53</v>
      </c>
      <c r="AC126" s="139">
        <f>SUM($F126:P126)</f>
        <v>551.53</v>
      </c>
      <c r="AD126" s="139">
        <f>SUM($F126:Q126)</f>
        <v>551.53</v>
      </c>
    </row>
    <row r="127" spans="1:30" x14ac:dyDescent="0.25">
      <c r="A127" s="106">
        <v>122</v>
      </c>
      <c r="C127" s="1" t="s">
        <v>125</v>
      </c>
      <c r="E127" s="101"/>
      <c r="F127" s="71">
        <v>1368.31</v>
      </c>
      <c r="G127" s="71">
        <v>1376.74</v>
      </c>
      <c r="H127" s="71">
        <v>1164.82</v>
      </c>
      <c r="I127" s="71">
        <v>1698.17</v>
      </c>
      <c r="J127" s="71">
        <v>2042.84</v>
      </c>
      <c r="K127" s="71">
        <v>1375.97</v>
      </c>
      <c r="L127" s="71">
        <v>1247.23</v>
      </c>
      <c r="M127" s="71">
        <v>1300.46</v>
      </c>
      <c r="N127" s="71">
        <v>1399.97</v>
      </c>
      <c r="O127" s="71">
        <v>2119.84</v>
      </c>
      <c r="P127" s="71">
        <v>1214.52</v>
      </c>
      <c r="Q127" s="71">
        <v>0</v>
      </c>
      <c r="R127" s="79">
        <f t="shared" si="58"/>
        <v>16308.87</v>
      </c>
      <c r="S127" s="139">
        <f t="shared" si="59"/>
        <v>1368.31</v>
      </c>
      <c r="T127" s="139">
        <f>SUM($F127:G127)</f>
        <v>2745.05</v>
      </c>
      <c r="U127" s="139">
        <f>SUM($F127:H127)</f>
        <v>3909.87</v>
      </c>
      <c r="V127" s="139">
        <f>SUM($F127:I127)</f>
        <v>5608.04</v>
      </c>
      <c r="W127" s="139">
        <f>SUM($F127:J127)</f>
        <v>7650.88</v>
      </c>
      <c r="X127" s="139">
        <f>SUM($F127:K127)</f>
        <v>9026.85</v>
      </c>
      <c r="Y127" s="139">
        <f>SUM($F127:L127)</f>
        <v>10274.08</v>
      </c>
      <c r="Z127" s="139">
        <f>SUM($F127:M127)</f>
        <v>11574.54</v>
      </c>
      <c r="AA127" s="139">
        <f>SUM($F127:N127)</f>
        <v>12974.51</v>
      </c>
      <c r="AB127" s="139">
        <f>SUM($F127:O127)</f>
        <v>15094.35</v>
      </c>
      <c r="AC127" s="139">
        <f>SUM($F127:P127)</f>
        <v>16308.87</v>
      </c>
      <c r="AD127" s="139">
        <f>SUM($F127:Q127)</f>
        <v>16308.87</v>
      </c>
    </row>
    <row r="128" spans="1:30" x14ac:dyDescent="0.25">
      <c r="A128" s="106">
        <v>123</v>
      </c>
      <c r="C128" s="1" t="s">
        <v>84</v>
      </c>
      <c r="E128" s="101"/>
      <c r="F128" s="71">
        <v>0</v>
      </c>
      <c r="G128" s="71">
        <v>792.16</v>
      </c>
      <c r="H128" s="71">
        <v>847.52</v>
      </c>
      <c r="I128" s="71">
        <v>821.73</v>
      </c>
      <c r="J128" s="71">
        <v>802.56</v>
      </c>
      <c r="K128" s="71">
        <v>1016.36</v>
      </c>
      <c r="L128" s="71">
        <v>629.35</v>
      </c>
      <c r="M128" s="71">
        <v>718.89</v>
      </c>
      <c r="N128" s="71">
        <v>748.37</v>
      </c>
      <c r="O128" s="71">
        <v>797.23</v>
      </c>
      <c r="P128" s="71">
        <v>995.27</v>
      </c>
      <c r="Q128" s="71">
        <v>0</v>
      </c>
      <c r="R128" s="79">
        <f t="shared" si="58"/>
        <v>8169.4400000000005</v>
      </c>
      <c r="S128" s="139">
        <f t="shared" si="59"/>
        <v>0</v>
      </c>
      <c r="T128" s="139">
        <f>SUM($F128:G128)</f>
        <v>792.16</v>
      </c>
      <c r="U128" s="139">
        <f>SUM($F128:H128)</f>
        <v>1639.6799999999998</v>
      </c>
      <c r="V128" s="139">
        <f>SUM($F128:I128)</f>
        <v>2461.41</v>
      </c>
      <c r="W128" s="139">
        <f>SUM($F128:J128)</f>
        <v>3263.97</v>
      </c>
      <c r="X128" s="139">
        <f>SUM($F128:K128)</f>
        <v>4280.33</v>
      </c>
      <c r="Y128" s="139">
        <f>SUM($F128:L128)</f>
        <v>4909.68</v>
      </c>
      <c r="Z128" s="139">
        <f>SUM($F128:M128)</f>
        <v>5628.5700000000006</v>
      </c>
      <c r="AA128" s="139">
        <f>SUM($F128:N128)</f>
        <v>6376.9400000000005</v>
      </c>
      <c r="AB128" s="139">
        <f>SUM($F128:O128)</f>
        <v>7174.17</v>
      </c>
      <c r="AC128" s="139">
        <f>SUM($F128:P128)</f>
        <v>8169.4400000000005</v>
      </c>
      <c r="AD128" s="139">
        <f>SUM($F128:Q128)</f>
        <v>8169.4400000000005</v>
      </c>
    </row>
    <row r="129" spans="1:30" x14ac:dyDescent="0.25">
      <c r="A129" s="106">
        <v>124</v>
      </c>
      <c r="C129" s="1" t="s">
        <v>85</v>
      </c>
      <c r="E129" s="101"/>
      <c r="F129" s="71">
        <v>855.5</v>
      </c>
      <c r="G129" s="71">
        <v>0</v>
      </c>
      <c r="H129" s="71">
        <v>0</v>
      </c>
      <c r="I129" s="71">
        <v>855.5</v>
      </c>
      <c r="J129" s="71">
        <v>0</v>
      </c>
      <c r="K129" s="71">
        <v>0</v>
      </c>
      <c r="L129" s="71">
        <v>855.75</v>
      </c>
      <c r="M129" s="71">
        <v>0</v>
      </c>
      <c r="N129" s="71">
        <v>-179</v>
      </c>
      <c r="O129" s="71">
        <v>855.75</v>
      </c>
      <c r="P129" s="71">
        <v>0</v>
      </c>
      <c r="Q129" s="71">
        <v>0</v>
      </c>
      <c r="R129" s="79">
        <f t="shared" si="58"/>
        <v>3243.5</v>
      </c>
      <c r="S129" s="139">
        <f t="shared" si="59"/>
        <v>855.5</v>
      </c>
      <c r="T129" s="139">
        <f>SUM($F129:G129)</f>
        <v>855.5</v>
      </c>
      <c r="U129" s="139">
        <f>SUM($F129:H129)</f>
        <v>855.5</v>
      </c>
      <c r="V129" s="139">
        <f>SUM($F129:I129)</f>
        <v>1711</v>
      </c>
      <c r="W129" s="139">
        <f>SUM($F129:J129)</f>
        <v>1711</v>
      </c>
      <c r="X129" s="139">
        <f>SUM($F129:K129)</f>
        <v>1711</v>
      </c>
      <c r="Y129" s="139">
        <f>SUM($F129:L129)</f>
        <v>2566.75</v>
      </c>
      <c r="Z129" s="139">
        <f>SUM($F129:M129)</f>
        <v>2566.75</v>
      </c>
      <c r="AA129" s="139">
        <f>SUM($F129:N129)</f>
        <v>2387.75</v>
      </c>
      <c r="AB129" s="139">
        <f>SUM($F129:O129)</f>
        <v>3243.5</v>
      </c>
      <c r="AC129" s="139">
        <f>SUM($F129:P129)</f>
        <v>3243.5</v>
      </c>
      <c r="AD129" s="139">
        <f>SUM($F129:Q129)</f>
        <v>3243.5</v>
      </c>
    </row>
    <row r="130" spans="1:30" x14ac:dyDescent="0.25">
      <c r="A130" s="106">
        <v>125</v>
      </c>
      <c r="C130" s="1" t="s">
        <v>86</v>
      </c>
      <c r="E130" s="101"/>
      <c r="F130" s="71">
        <v>0</v>
      </c>
      <c r="G130" s="71">
        <v>0</v>
      </c>
      <c r="H130" s="71">
        <v>200</v>
      </c>
      <c r="I130" s="71">
        <v>0</v>
      </c>
      <c r="J130" s="71">
        <v>200</v>
      </c>
      <c r="K130" s="71">
        <v>0</v>
      </c>
      <c r="L130" s="71">
        <v>0</v>
      </c>
      <c r="M130" s="71">
        <v>0</v>
      </c>
      <c r="N130" s="71">
        <v>100</v>
      </c>
      <c r="O130" s="71">
        <v>0</v>
      </c>
      <c r="P130" s="71">
        <v>0</v>
      </c>
      <c r="Q130" s="71">
        <v>0</v>
      </c>
      <c r="R130" s="79">
        <f t="shared" si="58"/>
        <v>500</v>
      </c>
      <c r="S130" s="139">
        <f t="shared" si="59"/>
        <v>0</v>
      </c>
      <c r="T130" s="139">
        <f>SUM($F130:G130)</f>
        <v>0</v>
      </c>
      <c r="U130" s="139">
        <f>SUM($F130:H130)</f>
        <v>200</v>
      </c>
      <c r="V130" s="139">
        <f>SUM($F130:I130)</f>
        <v>200</v>
      </c>
      <c r="W130" s="139">
        <f>SUM($F130:J130)</f>
        <v>400</v>
      </c>
      <c r="X130" s="139">
        <f>SUM($F130:K130)</f>
        <v>400</v>
      </c>
      <c r="Y130" s="139">
        <f>SUM($F130:L130)</f>
        <v>400</v>
      </c>
      <c r="Z130" s="139">
        <f>SUM($F130:M130)</f>
        <v>400</v>
      </c>
      <c r="AA130" s="139">
        <f>SUM($F130:N130)</f>
        <v>500</v>
      </c>
      <c r="AB130" s="139">
        <f>SUM($F130:O130)</f>
        <v>500</v>
      </c>
      <c r="AC130" s="139">
        <f>SUM($F130:P130)</f>
        <v>500</v>
      </c>
      <c r="AD130" s="139">
        <f>SUM($F130:Q130)</f>
        <v>500</v>
      </c>
    </row>
    <row r="131" spans="1:30" x14ac:dyDescent="0.25">
      <c r="A131" s="106">
        <v>126</v>
      </c>
      <c r="C131" s="1" t="s">
        <v>87</v>
      </c>
      <c r="E131" s="101"/>
      <c r="F131" s="71">
        <v>-2500</v>
      </c>
      <c r="G131" s="71">
        <v>0</v>
      </c>
      <c r="H131" s="71">
        <v>0</v>
      </c>
      <c r="I131" s="71">
        <v>0</v>
      </c>
      <c r="J131" s="71">
        <v>0</v>
      </c>
      <c r="K131" s="71">
        <v>0</v>
      </c>
      <c r="L131" s="71">
        <v>-2500</v>
      </c>
      <c r="M131" s="71">
        <v>0</v>
      </c>
      <c r="N131" s="71">
        <v>0</v>
      </c>
      <c r="O131" s="71">
        <v>0</v>
      </c>
      <c r="P131" s="71">
        <v>0</v>
      </c>
      <c r="Q131" s="71">
        <v>0</v>
      </c>
      <c r="R131" s="79">
        <f t="shared" si="58"/>
        <v>-5000</v>
      </c>
      <c r="S131" s="139">
        <f t="shared" si="59"/>
        <v>-2500</v>
      </c>
      <c r="T131" s="139">
        <f>SUM($F131:G131)</f>
        <v>-2500</v>
      </c>
      <c r="U131" s="139">
        <f>SUM($F131:H131)</f>
        <v>-2500</v>
      </c>
      <c r="V131" s="139">
        <f>SUM($F131:I131)</f>
        <v>-2500</v>
      </c>
      <c r="W131" s="139">
        <f>SUM($F131:J131)</f>
        <v>-2500</v>
      </c>
      <c r="X131" s="139">
        <f>SUM($F131:K131)</f>
        <v>-2500</v>
      </c>
      <c r="Y131" s="139">
        <f>SUM($F131:L131)</f>
        <v>-5000</v>
      </c>
      <c r="Z131" s="139">
        <f>SUM($F131:M131)</f>
        <v>-5000</v>
      </c>
      <c r="AA131" s="139">
        <f>SUM($F131:N131)</f>
        <v>-5000</v>
      </c>
      <c r="AB131" s="139">
        <f>SUM($F131:O131)</f>
        <v>-5000</v>
      </c>
      <c r="AC131" s="139">
        <f>SUM($F131:P131)</f>
        <v>-5000</v>
      </c>
      <c r="AD131" s="139">
        <f>SUM($F131:Q131)</f>
        <v>-5000</v>
      </c>
    </row>
    <row r="132" spans="1:30" s="5" customFormat="1" x14ac:dyDescent="0.25">
      <c r="A132" s="106">
        <v>127</v>
      </c>
      <c r="B132" s="33" t="s">
        <v>79</v>
      </c>
      <c r="C132" s="33"/>
      <c r="D132" s="33"/>
      <c r="E132" s="96"/>
      <c r="F132" s="80">
        <f t="shared" ref="F132:Q132" si="60">SUM(F122:F131)</f>
        <v>4307.9699999999993</v>
      </c>
      <c r="G132" s="80">
        <f t="shared" si="60"/>
        <v>5782.46</v>
      </c>
      <c r="H132" s="80">
        <f t="shared" si="60"/>
        <v>6887.9499999999989</v>
      </c>
      <c r="I132" s="80">
        <f t="shared" si="60"/>
        <v>6658.8799999999992</v>
      </c>
      <c r="J132" s="80">
        <f t="shared" si="60"/>
        <v>8957.26</v>
      </c>
      <c r="K132" s="80">
        <f t="shared" si="60"/>
        <v>5502.94</v>
      </c>
      <c r="L132" s="80">
        <f t="shared" si="60"/>
        <v>3383.3500000000004</v>
      </c>
      <c r="M132" s="80">
        <f t="shared" si="60"/>
        <v>5421.55</v>
      </c>
      <c r="N132" s="80">
        <f t="shared" si="60"/>
        <v>5406.9699999999993</v>
      </c>
      <c r="O132" s="80">
        <f t="shared" si="60"/>
        <v>8742.07</v>
      </c>
      <c r="P132" s="80">
        <f t="shared" si="60"/>
        <v>5664.6</v>
      </c>
      <c r="Q132" s="80">
        <f t="shared" si="60"/>
        <v>0</v>
      </c>
      <c r="R132" s="80">
        <f>SUM(R122:R131)</f>
        <v>66716</v>
      </c>
      <c r="S132" s="149">
        <f t="shared" ref="S132:AD132" si="61">SUM(S122:S131)</f>
        <v>4307.9699999999993</v>
      </c>
      <c r="T132" s="149">
        <f t="shared" si="61"/>
        <v>10090.43</v>
      </c>
      <c r="U132" s="149">
        <f t="shared" si="61"/>
        <v>16978.379999999997</v>
      </c>
      <c r="V132" s="149">
        <f t="shared" si="61"/>
        <v>23637.260000000002</v>
      </c>
      <c r="W132" s="149">
        <f t="shared" si="61"/>
        <v>32594.519999999997</v>
      </c>
      <c r="X132" s="149">
        <f t="shared" si="61"/>
        <v>38097.46</v>
      </c>
      <c r="Y132" s="149">
        <f t="shared" si="61"/>
        <v>41480.81</v>
      </c>
      <c r="Z132" s="149">
        <f t="shared" si="61"/>
        <v>46902.359999999993</v>
      </c>
      <c r="AA132" s="149">
        <f t="shared" si="61"/>
        <v>52309.33</v>
      </c>
      <c r="AB132" s="149">
        <f t="shared" si="61"/>
        <v>61051.399999999994</v>
      </c>
      <c r="AC132" s="149">
        <f t="shared" si="61"/>
        <v>66716</v>
      </c>
      <c r="AD132" s="149">
        <f t="shared" si="61"/>
        <v>66716</v>
      </c>
    </row>
    <row r="133" spans="1:30" x14ac:dyDescent="0.25">
      <c r="A133" s="106">
        <v>128</v>
      </c>
      <c r="B133" s="33" t="s">
        <v>88</v>
      </c>
      <c r="C133" s="33"/>
      <c r="D133" s="44" t="str">
        <f>0*100%&amp;"% Cost of Living"</f>
        <v>0% Cost of Living</v>
      </c>
      <c r="E133" s="96"/>
      <c r="F133" s="80">
        <f t="shared" ref="F133:Q133" si="62">+F91+F96+F101+F110+F119+F132</f>
        <v>24064.629999999997</v>
      </c>
      <c r="G133" s="80">
        <f t="shared" si="62"/>
        <v>26208.139999999996</v>
      </c>
      <c r="H133" s="80">
        <f t="shared" si="62"/>
        <v>26900.39</v>
      </c>
      <c r="I133" s="80">
        <f t="shared" si="62"/>
        <v>28767.229999999996</v>
      </c>
      <c r="J133" s="80">
        <f t="shared" si="62"/>
        <v>29642.120000000003</v>
      </c>
      <c r="K133" s="80">
        <f t="shared" si="62"/>
        <v>27844.75</v>
      </c>
      <c r="L133" s="80">
        <f t="shared" si="62"/>
        <v>24368.1</v>
      </c>
      <c r="M133" s="80">
        <f t="shared" si="62"/>
        <v>24303</v>
      </c>
      <c r="N133" s="80">
        <f t="shared" si="62"/>
        <v>27296.07</v>
      </c>
      <c r="O133" s="80">
        <f t="shared" si="62"/>
        <v>28456.169999999995</v>
      </c>
      <c r="P133" s="80">
        <f t="shared" si="62"/>
        <v>25025.309999999998</v>
      </c>
      <c r="Q133" s="80">
        <f t="shared" si="62"/>
        <v>0</v>
      </c>
      <c r="R133" s="80">
        <f>+R91+R96+R101+R110+R119+R132</f>
        <v>292875.90999999997</v>
      </c>
      <c r="S133" s="149">
        <f t="shared" ref="S133:AD133" si="63">+S91+S96+S101+S110+S119+S132</f>
        <v>24064.629999999997</v>
      </c>
      <c r="T133" s="149">
        <f t="shared" si="63"/>
        <v>50272.77</v>
      </c>
      <c r="U133" s="149">
        <f t="shared" si="63"/>
        <v>77173.16</v>
      </c>
      <c r="V133" s="149">
        <f t="shared" si="63"/>
        <v>105940.39000000001</v>
      </c>
      <c r="W133" s="149">
        <f t="shared" si="63"/>
        <v>135582.50999999998</v>
      </c>
      <c r="X133" s="149">
        <f t="shared" si="63"/>
        <v>163427.26</v>
      </c>
      <c r="Y133" s="149">
        <f t="shared" si="63"/>
        <v>187795.36</v>
      </c>
      <c r="Z133" s="149">
        <f t="shared" si="63"/>
        <v>212098.36</v>
      </c>
      <c r="AA133" s="149">
        <f t="shared" si="63"/>
        <v>239394.43</v>
      </c>
      <c r="AB133" s="149">
        <f t="shared" si="63"/>
        <v>267850.59999999998</v>
      </c>
      <c r="AC133" s="149">
        <f t="shared" si="63"/>
        <v>292875.90999999997</v>
      </c>
      <c r="AD133" s="149">
        <f t="shared" si="63"/>
        <v>292875.90999999997</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c r="F137" s="71">
        <v>1821.44</v>
      </c>
      <c r="G137" s="71">
        <v>1599.14</v>
      </c>
      <c r="H137" s="71">
        <v>1631.62</v>
      </c>
      <c r="I137" s="71">
        <v>1469.5</v>
      </c>
      <c r="J137" s="71">
        <v>1129.78</v>
      </c>
      <c r="K137" s="71">
        <v>1121.67</v>
      </c>
      <c r="L137" s="71">
        <v>1498.8</v>
      </c>
      <c r="M137" s="71">
        <v>2023.66</v>
      </c>
      <c r="N137" s="71">
        <v>1564.31</v>
      </c>
      <c r="O137" s="71">
        <v>1361.05</v>
      </c>
      <c r="P137" s="71">
        <v>1181.6099999999999</v>
      </c>
      <c r="Q137" s="71">
        <v>0</v>
      </c>
      <c r="R137" s="79">
        <f t="shared" ref="R137:R143" si="64">SUM(F137:Q137)</f>
        <v>16402.579999999998</v>
      </c>
      <c r="S137" s="139">
        <f t="shared" ref="S137:S143" si="65">SUM(F137)</f>
        <v>1821.44</v>
      </c>
      <c r="T137" s="139">
        <f>SUM($F137:G137)</f>
        <v>3420.58</v>
      </c>
      <c r="U137" s="139">
        <f>SUM($F137:H137)</f>
        <v>5052.2</v>
      </c>
      <c r="V137" s="139">
        <f>SUM($F137:I137)</f>
        <v>6521.7</v>
      </c>
      <c r="W137" s="139">
        <f>SUM($F137:J137)</f>
        <v>7651.48</v>
      </c>
      <c r="X137" s="139">
        <f>SUM($F137:K137)</f>
        <v>8773.15</v>
      </c>
      <c r="Y137" s="139">
        <f>SUM($F137:L137)</f>
        <v>10271.949999999999</v>
      </c>
      <c r="Z137" s="139">
        <f>SUM($F137:M137)</f>
        <v>12295.609999999999</v>
      </c>
      <c r="AA137" s="139">
        <f>SUM($F137:N137)</f>
        <v>13859.919999999998</v>
      </c>
      <c r="AB137" s="139">
        <f>SUM($F137:O137)</f>
        <v>15220.969999999998</v>
      </c>
      <c r="AC137" s="139">
        <f>SUM($F137:P137)</f>
        <v>16402.579999999998</v>
      </c>
      <c r="AD137" s="139">
        <f>SUM($F137:Q137)</f>
        <v>16402.579999999998</v>
      </c>
    </row>
    <row r="138" spans="1:30" x14ac:dyDescent="0.25">
      <c r="A138" s="106">
        <v>133</v>
      </c>
      <c r="C138" s="1" t="s">
        <v>93</v>
      </c>
      <c r="E138" s="101"/>
      <c r="F138" s="71">
        <v>968</v>
      </c>
      <c r="G138" s="71">
        <v>968</v>
      </c>
      <c r="H138" s="71">
        <v>605</v>
      </c>
      <c r="I138" s="71">
        <v>605</v>
      </c>
      <c r="J138" s="71">
        <v>605</v>
      </c>
      <c r="K138" s="71">
        <v>605</v>
      </c>
      <c r="L138" s="71">
        <v>605</v>
      </c>
      <c r="M138" s="71">
        <v>311.55</v>
      </c>
      <c r="N138" s="71">
        <v>838</v>
      </c>
      <c r="O138" s="71">
        <v>838</v>
      </c>
      <c r="P138" s="71">
        <v>838</v>
      </c>
      <c r="Q138" s="71">
        <v>0</v>
      </c>
      <c r="R138" s="79">
        <f t="shared" si="64"/>
        <v>7786.55</v>
      </c>
      <c r="S138" s="139">
        <f t="shared" si="65"/>
        <v>968</v>
      </c>
      <c r="T138" s="139">
        <f>SUM($F138:G138)</f>
        <v>1936</v>
      </c>
      <c r="U138" s="139">
        <f>SUM($F138:H138)</f>
        <v>2541</v>
      </c>
      <c r="V138" s="139">
        <f>SUM($F138:I138)</f>
        <v>3146</v>
      </c>
      <c r="W138" s="139">
        <f>SUM($F138:J138)</f>
        <v>3751</v>
      </c>
      <c r="X138" s="139">
        <f>SUM($F138:K138)</f>
        <v>4356</v>
      </c>
      <c r="Y138" s="139">
        <f>SUM($F138:L138)</f>
        <v>4961</v>
      </c>
      <c r="Z138" s="139">
        <f>SUM($F138:M138)</f>
        <v>5272.55</v>
      </c>
      <c r="AA138" s="139">
        <f>SUM($F138:N138)</f>
        <v>6110.55</v>
      </c>
      <c r="AB138" s="139">
        <f>SUM($F138:O138)</f>
        <v>6948.55</v>
      </c>
      <c r="AC138" s="139">
        <f>SUM($F138:P138)</f>
        <v>7786.55</v>
      </c>
      <c r="AD138" s="139">
        <f>SUM($F138:Q138)</f>
        <v>7786.55</v>
      </c>
    </row>
    <row r="139" spans="1:30" x14ac:dyDescent="0.25">
      <c r="A139" s="106">
        <v>134</v>
      </c>
      <c r="C139" s="1" t="s">
        <v>94</v>
      </c>
      <c r="E139" s="101"/>
      <c r="F139" s="71">
        <v>146.24</v>
      </c>
      <c r="G139" s="71">
        <v>1011.62</v>
      </c>
      <c r="H139" s="71">
        <v>141.46</v>
      </c>
      <c r="I139" s="71">
        <v>313.45999999999998</v>
      </c>
      <c r="J139" s="71">
        <v>313.45999999999998</v>
      </c>
      <c r="K139" s="71">
        <v>312.04000000000002</v>
      </c>
      <c r="L139" s="71">
        <v>310.12</v>
      </c>
      <c r="M139" s="71">
        <v>309.77</v>
      </c>
      <c r="N139" s="71">
        <v>309.77</v>
      </c>
      <c r="O139" s="71">
        <v>320.61</v>
      </c>
      <c r="P139" s="71">
        <v>51.57</v>
      </c>
      <c r="Q139" s="71">
        <v>0</v>
      </c>
      <c r="R139" s="79">
        <f t="shared" si="64"/>
        <v>3540.1200000000003</v>
      </c>
      <c r="S139" s="139">
        <f t="shared" si="65"/>
        <v>146.24</v>
      </c>
      <c r="T139" s="139">
        <f>SUM($F139:G139)</f>
        <v>1157.8600000000001</v>
      </c>
      <c r="U139" s="139">
        <f>SUM($F139:H139)</f>
        <v>1299.3200000000002</v>
      </c>
      <c r="V139" s="139">
        <f>SUM($F139:I139)</f>
        <v>1612.7800000000002</v>
      </c>
      <c r="W139" s="139">
        <f>SUM($F139:J139)</f>
        <v>1926.2400000000002</v>
      </c>
      <c r="X139" s="139">
        <f>SUM($F139:K139)</f>
        <v>2238.2800000000002</v>
      </c>
      <c r="Y139" s="139">
        <f>SUM($F139:L139)</f>
        <v>2548.4</v>
      </c>
      <c r="Z139" s="139">
        <f>SUM($F139:M139)</f>
        <v>2858.17</v>
      </c>
      <c r="AA139" s="139">
        <f>SUM($F139:N139)</f>
        <v>3167.94</v>
      </c>
      <c r="AB139" s="139">
        <f>SUM($F139:O139)</f>
        <v>3488.55</v>
      </c>
      <c r="AC139" s="139">
        <f>SUM($F139:P139)</f>
        <v>3540.1200000000003</v>
      </c>
      <c r="AD139" s="139">
        <f>SUM($F139:Q139)</f>
        <v>3540.1200000000003</v>
      </c>
    </row>
    <row r="140" spans="1:30" x14ac:dyDescent="0.25">
      <c r="A140" s="106">
        <v>135</v>
      </c>
      <c r="C140" s="1" t="s">
        <v>95</v>
      </c>
      <c r="E140" s="101"/>
      <c r="F140" s="71">
        <v>64.400000000000006</v>
      </c>
      <c r="G140" s="71">
        <v>0</v>
      </c>
      <c r="H140" s="71">
        <v>0</v>
      </c>
      <c r="I140" s="71">
        <v>272.32</v>
      </c>
      <c r="J140" s="71">
        <v>0</v>
      </c>
      <c r="K140" s="71">
        <v>0</v>
      </c>
      <c r="L140" s="71">
        <v>239.96</v>
      </c>
      <c r="M140" s="71">
        <v>0</v>
      </c>
      <c r="N140" s="71">
        <v>0</v>
      </c>
      <c r="O140" s="71">
        <v>193.76</v>
      </c>
      <c r="P140" s="71">
        <v>0</v>
      </c>
      <c r="Q140" s="71">
        <v>0</v>
      </c>
      <c r="R140" s="79">
        <f t="shared" si="64"/>
        <v>770.44</v>
      </c>
      <c r="S140" s="139">
        <f t="shared" si="65"/>
        <v>64.400000000000006</v>
      </c>
      <c r="T140" s="139">
        <f>SUM($F140:G140)</f>
        <v>64.400000000000006</v>
      </c>
      <c r="U140" s="139">
        <f>SUM($F140:H140)</f>
        <v>64.400000000000006</v>
      </c>
      <c r="V140" s="139">
        <f>SUM($F140:I140)</f>
        <v>336.72</v>
      </c>
      <c r="W140" s="139">
        <f>SUM($F140:J140)</f>
        <v>336.72</v>
      </c>
      <c r="X140" s="139">
        <f>SUM($F140:K140)</f>
        <v>336.72</v>
      </c>
      <c r="Y140" s="139">
        <f>SUM($F140:L140)</f>
        <v>576.68000000000006</v>
      </c>
      <c r="Z140" s="139">
        <f>SUM($F140:M140)</f>
        <v>576.68000000000006</v>
      </c>
      <c r="AA140" s="139">
        <f>SUM($F140:N140)</f>
        <v>576.68000000000006</v>
      </c>
      <c r="AB140" s="139">
        <f>SUM($F140:O140)</f>
        <v>770.44</v>
      </c>
      <c r="AC140" s="139">
        <f>SUM($F140:P140)</f>
        <v>770.44</v>
      </c>
      <c r="AD140" s="139">
        <f>SUM($F140:Q140)</f>
        <v>770.44</v>
      </c>
    </row>
    <row r="141" spans="1:30" x14ac:dyDescent="0.25">
      <c r="A141" s="106">
        <v>136</v>
      </c>
      <c r="C141" s="1" t="s">
        <v>96</v>
      </c>
      <c r="E141" s="101"/>
      <c r="F141" s="71">
        <v>262.5</v>
      </c>
      <c r="G141" s="71">
        <v>157.5</v>
      </c>
      <c r="H141" s="71">
        <v>210</v>
      </c>
      <c r="I141" s="71">
        <v>226.8</v>
      </c>
      <c r="J141" s="71">
        <v>283.5</v>
      </c>
      <c r="K141" s="71">
        <v>226.8</v>
      </c>
      <c r="L141" s="71">
        <v>539.9</v>
      </c>
      <c r="M141" s="71">
        <v>276.5</v>
      </c>
      <c r="N141" s="71">
        <v>235.88</v>
      </c>
      <c r="O141" s="71">
        <v>276.5</v>
      </c>
      <c r="P141" s="71">
        <v>221.2</v>
      </c>
      <c r="Q141" s="71">
        <v>0</v>
      </c>
      <c r="R141" s="79">
        <f t="shared" si="64"/>
        <v>2917.08</v>
      </c>
      <c r="S141" s="139">
        <f t="shared" si="65"/>
        <v>262.5</v>
      </c>
      <c r="T141" s="139">
        <f>SUM($F141:G141)</f>
        <v>420</v>
      </c>
      <c r="U141" s="139">
        <f>SUM($F141:H141)</f>
        <v>630</v>
      </c>
      <c r="V141" s="139">
        <f>SUM($F141:I141)</f>
        <v>856.8</v>
      </c>
      <c r="W141" s="139">
        <f>SUM($F141:J141)</f>
        <v>1140.3</v>
      </c>
      <c r="X141" s="139">
        <f>SUM($F141:K141)</f>
        <v>1367.1</v>
      </c>
      <c r="Y141" s="139">
        <f>SUM($F141:L141)</f>
        <v>1907</v>
      </c>
      <c r="Z141" s="139">
        <f>SUM($F141:M141)</f>
        <v>2183.5</v>
      </c>
      <c r="AA141" s="139">
        <f>SUM($F141:N141)</f>
        <v>2419.38</v>
      </c>
      <c r="AB141" s="139">
        <f>SUM($F141:O141)</f>
        <v>2695.88</v>
      </c>
      <c r="AC141" s="139">
        <f>SUM($F141:P141)</f>
        <v>2917.08</v>
      </c>
      <c r="AD141" s="139">
        <f>SUM($F141:Q141)</f>
        <v>2917.08</v>
      </c>
    </row>
    <row r="142" spans="1:30" x14ac:dyDescent="0.25">
      <c r="A142" s="106">
        <v>137</v>
      </c>
      <c r="C142" s="1" t="s">
        <v>97</v>
      </c>
      <c r="E142" s="101"/>
      <c r="F142" s="71">
        <v>346.44</v>
      </c>
      <c r="G142" s="71">
        <v>274.83999999999997</v>
      </c>
      <c r="H142" s="71">
        <v>265.97000000000003</v>
      </c>
      <c r="I142" s="71">
        <v>300.67</v>
      </c>
      <c r="J142" s="71">
        <v>425.13</v>
      </c>
      <c r="K142" s="71">
        <v>244.6</v>
      </c>
      <c r="L142" s="71">
        <v>268.26</v>
      </c>
      <c r="M142" s="71">
        <v>275.17</v>
      </c>
      <c r="N142" s="71">
        <v>266.19</v>
      </c>
      <c r="O142" s="71">
        <v>324.48</v>
      </c>
      <c r="P142" s="71">
        <v>246.69</v>
      </c>
      <c r="Q142" s="71">
        <v>0</v>
      </c>
      <c r="R142" s="79">
        <f t="shared" si="64"/>
        <v>3238.44</v>
      </c>
      <c r="S142" s="139">
        <f t="shared" si="65"/>
        <v>346.44</v>
      </c>
      <c r="T142" s="139">
        <f>SUM($F142:G142)</f>
        <v>621.28</v>
      </c>
      <c r="U142" s="139">
        <f>SUM($F142:H142)</f>
        <v>887.25</v>
      </c>
      <c r="V142" s="139">
        <f>SUM($F142:I142)</f>
        <v>1187.92</v>
      </c>
      <c r="W142" s="139">
        <f>SUM($F142:J142)</f>
        <v>1613.0500000000002</v>
      </c>
      <c r="X142" s="139">
        <f>SUM($F142:K142)</f>
        <v>1857.65</v>
      </c>
      <c r="Y142" s="139">
        <f>SUM($F142:L142)</f>
        <v>2125.91</v>
      </c>
      <c r="Z142" s="139">
        <f>SUM($F142:M142)</f>
        <v>2401.08</v>
      </c>
      <c r="AA142" s="139">
        <f>SUM($F142:N142)</f>
        <v>2667.27</v>
      </c>
      <c r="AB142" s="139">
        <f>SUM($F142:O142)</f>
        <v>2991.75</v>
      </c>
      <c r="AC142" s="139">
        <f>SUM($F142:P142)</f>
        <v>3238.44</v>
      </c>
      <c r="AD142" s="139">
        <f>SUM($F142:Q142)</f>
        <v>3238.44</v>
      </c>
    </row>
    <row r="143" spans="1:30" x14ac:dyDescent="0.25">
      <c r="A143" s="106">
        <v>138</v>
      </c>
      <c r="C143" s="1" t="s">
        <v>98</v>
      </c>
      <c r="E143" s="101"/>
      <c r="F143" s="71">
        <v>3258.63</v>
      </c>
      <c r="G143" s="71">
        <v>0</v>
      </c>
      <c r="H143" s="71">
        <v>0</v>
      </c>
      <c r="I143" s="71">
        <v>0</v>
      </c>
      <c r="J143" s="71">
        <v>0</v>
      </c>
      <c r="K143" s="71">
        <v>0</v>
      </c>
      <c r="L143" s="71">
        <v>0</v>
      </c>
      <c r="M143" s="71">
        <v>0</v>
      </c>
      <c r="N143" s="71">
        <v>0</v>
      </c>
      <c r="O143" s="71">
        <v>0</v>
      </c>
      <c r="P143" s="71">
        <v>0</v>
      </c>
      <c r="Q143" s="71">
        <v>0</v>
      </c>
      <c r="R143" s="79">
        <f t="shared" si="64"/>
        <v>3258.63</v>
      </c>
      <c r="S143" s="139">
        <f t="shared" si="65"/>
        <v>3258.63</v>
      </c>
      <c r="T143" s="139">
        <f>SUM($F143:G143)</f>
        <v>3258.63</v>
      </c>
      <c r="U143" s="139">
        <f>SUM($F143:H143)</f>
        <v>3258.63</v>
      </c>
      <c r="V143" s="139">
        <f>SUM($F143:I143)</f>
        <v>3258.63</v>
      </c>
      <c r="W143" s="139">
        <f>SUM($F143:J143)</f>
        <v>3258.63</v>
      </c>
      <c r="X143" s="139">
        <f>SUM($F143:K143)</f>
        <v>3258.63</v>
      </c>
      <c r="Y143" s="139">
        <f>SUM($F143:L143)</f>
        <v>3258.63</v>
      </c>
      <c r="Z143" s="139">
        <f>SUM($F143:M143)</f>
        <v>3258.63</v>
      </c>
      <c r="AA143" s="139">
        <f>SUM($F143:N143)</f>
        <v>3258.63</v>
      </c>
      <c r="AB143" s="139">
        <f>SUM($F143:O143)</f>
        <v>3258.63</v>
      </c>
      <c r="AC143" s="139">
        <f>SUM($F143:P143)</f>
        <v>3258.63</v>
      </c>
      <c r="AD143" s="139">
        <f>SUM($F143:Q143)</f>
        <v>3258.63</v>
      </c>
    </row>
    <row r="144" spans="1:30" s="5" customFormat="1" x14ac:dyDescent="0.25">
      <c r="A144" s="106">
        <v>139</v>
      </c>
      <c r="B144" s="36" t="s">
        <v>99</v>
      </c>
      <c r="C144" s="36"/>
      <c r="D144" s="36"/>
      <c r="E144" s="97"/>
      <c r="F144" s="81">
        <f t="shared" ref="F144:Q144" si="66">SUM(F137:F143)</f>
        <v>6867.6500000000005</v>
      </c>
      <c r="G144" s="81">
        <f t="shared" si="66"/>
        <v>4011.1000000000004</v>
      </c>
      <c r="H144" s="81">
        <f t="shared" si="66"/>
        <v>2854.05</v>
      </c>
      <c r="I144" s="81">
        <f t="shared" si="66"/>
        <v>3187.7500000000005</v>
      </c>
      <c r="J144" s="81">
        <f t="shared" si="66"/>
        <v>2756.87</v>
      </c>
      <c r="K144" s="81">
        <f t="shared" si="66"/>
        <v>2510.11</v>
      </c>
      <c r="L144" s="81">
        <f t="shared" si="66"/>
        <v>3462.04</v>
      </c>
      <c r="M144" s="81">
        <f t="shared" si="66"/>
        <v>3196.65</v>
      </c>
      <c r="N144" s="81">
        <f t="shared" si="66"/>
        <v>3214.15</v>
      </c>
      <c r="O144" s="81">
        <f t="shared" si="66"/>
        <v>3314.4</v>
      </c>
      <c r="P144" s="81">
        <f t="shared" si="66"/>
        <v>2539.0699999999997</v>
      </c>
      <c r="Q144" s="81">
        <f t="shared" si="66"/>
        <v>0</v>
      </c>
      <c r="R144" s="81">
        <f>SUM(R137:R143)</f>
        <v>37913.839999999997</v>
      </c>
      <c r="S144" s="150">
        <f t="shared" ref="S144:AD144" si="67">SUM(S137:S143)</f>
        <v>6867.6500000000005</v>
      </c>
      <c r="T144" s="150">
        <f t="shared" si="67"/>
        <v>10878.75</v>
      </c>
      <c r="U144" s="150">
        <f t="shared" si="67"/>
        <v>13732.8</v>
      </c>
      <c r="V144" s="150">
        <f t="shared" si="67"/>
        <v>16920.55</v>
      </c>
      <c r="W144" s="150">
        <f t="shared" si="67"/>
        <v>19677.419999999998</v>
      </c>
      <c r="X144" s="150">
        <f t="shared" si="67"/>
        <v>22187.530000000002</v>
      </c>
      <c r="Y144" s="150">
        <f t="shared" si="67"/>
        <v>25649.57</v>
      </c>
      <c r="Z144" s="150">
        <f t="shared" si="67"/>
        <v>28846.220000000005</v>
      </c>
      <c r="AA144" s="150">
        <f t="shared" si="67"/>
        <v>32060.37</v>
      </c>
      <c r="AB144" s="150">
        <f t="shared" si="67"/>
        <v>35374.769999999997</v>
      </c>
      <c r="AC144" s="150">
        <f t="shared" si="67"/>
        <v>37913.839999999997</v>
      </c>
      <c r="AD144" s="150">
        <f t="shared" si="67"/>
        <v>37913.839999999997</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1"/>
      <c r="F147" s="71">
        <v>2918</v>
      </c>
      <c r="G147" s="71">
        <v>0</v>
      </c>
      <c r="H147" s="71">
        <v>0</v>
      </c>
      <c r="I147" s="71">
        <v>2918</v>
      </c>
      <c r="J147" s="71">
        <v>0</v>
      </c>
      <c r="K147" s="71">
        <v>0</v>
      </c>
      <c r="L147" s="71">
        <v>3015.75</v>
      </c>
      <c r="M147" s="71">
        <v>0</v>
      </c>
      <c r="N147" s="71">
        <v>0</v>
      </c>
      <c r="O147" s="71">
        <v>3023.75</v>
      </c>
      <c r="P147" s="71">
        <v>0</v>
      </c>
      <c r="Q147" s="71">
        <v>0</v>
      </c>
      <c r="R147" s="79">
        <f t="shared" ref="R147:R154" si="68">SUM(F147:Q147)</f>
        <v>11875.5</v>
      </c>
      <c r="S147" s="139">
        <f t="shared" ref="S147:S154" si="69">SUM(F147)</f>
        <v>2918</v>
      </c>
      <c r="T147" s="139">
        <f>SUM($F147:G147)</f>
        <v>2918</v>
      </c>
      <c r="U147" s="139">
        <f>SUM($F147:H147)</f>
        <v>2918</v>
      </c>
      <c r="V147" s="139">
        <f>SUM($F147:I147)</f>
        <v>5836</v>
      </c>
      <c r="W147" s="139">
        <f>SUM($F147:J147)</f>
        <v>5836</v>
      </c>
      <c r="X147" s="139">
        <f>SUM($F147:K147)</f>
        <v>5836</v>
      </c>
      <c r="Y147" s="139">
        <f>SUM($F147:L147)</f>
        <v>8851.75</v>
      </c>
      <c r="Z147" s="139">
        <f>SUM($F147:M147)</f>
        <v>8851.75</v>
      </c>
      <c r="AA147" s="139">
        <f>SUM($F147:N147)</f>
        <v>8851.75</v>
      </c>
      <c r="AB147" s="139">
        <f>SUM($F147:O147)</f>
        <v>11875.5</v>
      </c>
      <c r="AC147" s="139">
        <f>SUM($F147:P147)</f>
        <v>11875.5</v>
      </c>
      <c r="AD147" s="139">
        <f>SUM($F147:Q147)</f>
        <v>11875.5</v>
      </c>
    </row>
    <row r="148" spans="1:30" x14ac:dyDescent="0.25">
      <c r="A148" s="106">
        <v>143</v>
      </c>
      <c r="C148" s="1" t="s">
        <v>102</v>
      </c>
      <c r="E148" s="101"/>
      <c r="F148" s="71">
        <v>1060</v>
      </c>
      <c r="G148" s="71">
        <v>763.5</v>
      </c>
      <c r="H148" s="71">
        <v>920</v>
      </c>
      <c r="I148" s="71">
        <v>0</v>
      </c>
      <c r="J148" s="71">
        <v>0</v>
      </c>
      <c r="K148" s="71">
        <v>0</v>
      </c>
      <c r="L148" s="71">
        <v>0</v>
      </c>
      <c r="M148" s="71">
        <v>0</v>
      </c>
      <c r="N148" s="71">
        <v>0</v>
      </c>
      <c r="O148" s="71">
        <v>0</v>
      </c>
      <c r="P148" s="71">
        <v>0</v>
      </c>
      <c r="Q148" s="71">
        <v>0</v>
      </c>
      <c r="R148" s="79">
        <f t="shared" si="68"/>
        <v>2743.5</v>
      </c>
      <c r="S148" s="139">
        <f t="shared" si="69"/>
        <v>1060</v>
      </c>
      <c r="T148" s="139">
        <f>SUM($F148:G148)</f>
        <v>1823.5</v>
      </c>
      <c r="U148" s="139">
        <f>SUM($F148:H148)</f>
        <v>2743.5</v>
      </c>
      <c r="V148" s="139">
        <f>SUM($F148:I148)</f>
        <v>2743.5</v>
      </c>
      <c r="W148" s="139">
        <f>SUM($F148:J148)</f>
        <v>2743.5</v>
      </c>
      <c r="X148" s="139">
        <f>SUM($F148:K148)</f>
        <v>2743.5</v>
      </c>
      <c r="Y148" s="139">
        <f>SUM($F148:L148)</f>
        <v>2743.5</v>
      </c>
      <c r="Z148" s="139">
        <f>SUM($F148:M148)</f>
        <v>2743.5</v>
      </c>
      <c r="AA148" s="139">
        <f>SUM($F148:N148)</f>
        <v>2743.5</v>
      </c>
      <c r="AB148" s="139">
        <f>SUM($F148:O148)</f>
        <v>2743.5</v>
      </c>
      <c r="AC148" s="139">
        <f>SUM($F148:P148)</f>
        <v>2743.5</v>
      </c>
      <c r="AD148" s="139">
        <f>SUM($F148:Q148)</f>
        <v>2743.5</v>
      </c>
    </row>
    <row r="149" spans="1:30" x14ac:dyDescent="0.25">
      <c r="A149" s="106">
        <v>144</v>
      </c>
      <c r="C149" s="1" t="s">
        <v>103</v>
      </c>
      <c r="E149" s="101"/>
      <c r="F149" s="71">
        <v>5.84</v>
      </c>
      <c r="G149" s="71">
        <v>368.76</v>
      </c>
      <c r="H149" s="71">
        <v>167.15</v>
      </c>
      <c r="I149" s="71">
        <v>908.42</v>
      </c>
      <c r="J149" s="71">
        <v>-222.52</v>
      </c>
      <c r="K149" s="71">
        <v>106.25</v>
      </c>
      <c r="L149" s="71">
        <v>109.29</v>
      </c>
      <c r="M149" s="71">
        <v>214.77</v>
      </c>
      <c r="N149" s="71">
        <v>115.59</v>
      </c>
      <c r="O149" s="71">
        <v>70.98</v>
      </c>
      <c r="P149" s="71">
        <v>66.14</v>
      </c>
      <c r="Q149" s="71">
        <v>0</v>
      </c>
      <c r="R149" s="79">
        <f t="shared" si="68"/>
        <v>1910.67</v>
      </c>
      <c r="S149" s="139">
        <f t="shared" si="69"/>
        <v>5.84</v>
      </c>
      <c r="T149" s="139">
        <f>SUM($F149:G149)</f>
        <v>374.59999999999997</v>
      </c>
      <c r="U149" s="139">
        <f>SUM($F149:H149)</f>
        <v>541.75</v>
      </c>
      <c r="V149" s="139">
        <f>SUM($F149:I149)</f>
        <v>1450.17</v>
      </c>
      <c r="W149" s="139">
        <f>SUM($F149:J149)</f>
        <v>1227.6500000000001</v>
      </c>
      <c r="X149" s="139">
        <f>SUM($F149:K149)</f>
        <v>1333.9</v>
      </c>
      <c r="Y149" s="139">
        <f>SUM($F149:L149)</f>
        <v>1443.19</v>
      </c>
      <c r="Z149" s="139">
        <f>SUM($F149:M149)</f>
        <v>1657.96</v>
      </c>
      <c r="AA149" s="139">
        <f>SUM($F149:N149)</f>
        <v>1773.55</v>
      </c>
      <c r="AB149" s="139">
        <f>SUM($F149:O149)</f>
        <v>1844.53</v>
      </c>
      <c r="AC149" s="139">
        <f>SUM($F149:P149)</f>
        <v>1910.67</v>
      </c>
      <c r="AD149" s="139">
        <f>SUM($F149:Q149)</f>
        <v>1910.67</v>
      </c>
    </row>
    <row r="150" spans="1:30" ht="28.5" customHeight="1" x14ac:dyDescent="0.25">
      <c r="A150" s="106">
        <v>145</v>
      </c>
      <c r="C150" s="223" t="s">
        <v>129</v>
      </c>
      <c r="D150" s="223"/>
      <c r="E150" s="101"/>
      <c r="F150" s="71">
        <v>390.52</v>
      </c>
      <c r="G150" s="71">
        <v>136.22</v>
      </c>
      <c r="H150" s="71">
        <v>157.83000000000001</v>
      </c>
      <c r="I150" s="71">
        <v>41.21</v>
      </c>
      <c r="J150" s="71">
        <v>557.36</v>
      </c>
      <c r="K150" s="71">
        <v>275.95999999999998</v>
      </c>
      <c r="L150" s="71">
        <v>603</v>
      </c>
      <c r="M150" s="71">
        <v>135.49</v>
      </c>
      <c r="N150" s="71">
        <v>136.30000000000001</v>
      </c>
      <c r="O150" s="71">
        <v>361.75</v>
      </c>
      <c r="P150" s="71">
        <v>147.46</v>
      </c>
      <c r="Q150" s="71">
        <v>0</v>
      </c>
      <c r="R150" s="79">
        <f t="shared" si="68"/>
        <v>2943.1000000000004</v>
      </c>
      <c r="S150" s="139">
        <f t="shared" si="69"/>
        <v>390.52</v>
      </c>
      <c r="T150" s="139">
        <f>SUM($F150:G150)</f>
        <v>526.74</v>
      </c>
      <c r="U150" s="139">
        <f>SUM($F150:H150)</f>
        <v>684.57</v>
      </c>
      <c r="V150" s="139">
        <f>SUM($F150:I150)</f>
        <v>725.78000000000009</v>
      </c>
      <c r="W150" s="139">
        <f>SUM($F150:J150)</f>
        <v>1283.1400000000001</v>
      </c>
      <c r="X150" s="139">
        <f>SUM($F150:K150)</f>
        <v>1559.1000000000001</v>
      </c>
      <c r="Y150" s="139">
        <f>SUM($F150:L150)</f>
        <v>2162.1000000000004</v>
      </c>
      <c r="Z150" s="139">
        <f>SUM($F150:M150)</f>
        <v>2297.59</v>
      </c>
      <c r="AA150" s="139">
        <f>SUM($F150:N150)</f>
        <v>2433.8900000000003</v>
      </c>
      <c r="AB150" s="139">
        <f>SUM($F150:O150)</f>
        <v>2795.6400000000003</v>
      </c>
      <c r="AC150" s="139">
        <f>SUM($F150:P150)</f>
        <v>2943.1000000000004</v>
      </c>
      <c r="AD150" s="139">
        <f>SUM($F150:Q150)</f>
        <v>2943.1000000000004</v>
      </c>
    </row>
    <row r="151" spans="1:30" x14ac:dyDescent="0.25">
      <c r="A151" s="106">
        <v>146</v>
      </c>
      <c r="C151" s="1" t="s">
        <v>104</v>
      </c>
      <c r="E151" s="101"/>
      <c r="F151" s="71">
        <v>1365.24</v>
      </c>
      <c r="G151" s="71">
        <v>0</v>
      </c>
      <c r="H151" s="71">
        <v>233.5</v>
      </c>
      <c r="I151" s="71">
        <v>463.5</v>
      </c>
      <c r="J151" s="71">
        <v>0</v>
      </c>
      <c r="K151" s="71">
        <v>495</v>
      </c>
      <c r="L151" s="71">
        <v>0</v>
      </c>
      <c r="M151" s="71">
        <v>0</v>
      </c>
      <c r="N151" s="71">
        <v>0</v>
      </c>
      <c r="O151" s="71">
        <v>342.48</v>
      </c>
      <c r="P151" s="71">
        <v>349</v>
      </c>
      <c r="Q151" s="71">
        <v>0</v>
      </c>
      <c r="R151" s="79">
        <f t="shared" si="68"/>
        <v>3248.72</v>
      </c>
      <c r="S151" s="139">
        <f t="shared" si="69"/>
        <v>1365.24</v>
      </c>
      <c r="T151" s="139">
        <f>SUM($F151:G151)</f>
        <v>1365.24</v>
      </c>
      <c r="U151" s="139">
        <f>SUM($F151:H151)</f>
        <v>1598.74</v>
      </c>
      <c r="V151" s="139">
        <f>SUM($F151:I151)</f>
        <v>2062.2399999999998</v>
      </c>
      <c r="W151" s="139">
        <f>SUM($F151:J151)</f>
        <v>2062.2399999999998</v>
      </c>
      <c r="X151" s="139">
        <f>SUM($F151:K151)</f>
        <v>2557.2399999999998</v>
      </c>
      <c r="Y151" s="139">
        <f>SUM($F151:L151)</f>
        <v>2557.2399999999998</v>
      </c>
      <c r="Z151" s="139">
        <f>SUM($F151:M151)</f>
        <v>2557.2399999999998</v>
      </c>
      <c r="AA151" s="139">
        <f>SUM($F151:N151)</f>
        <v>2557.2399999999998</v>
      </c>
      <c r="AB151" s="139">
        <f>SUM($F151:O151)</f>
        <v>2899.72</v>
      </c>
      <c r="AC151" s="139">
        <f>SUM($F151:P151)</f>
        <v>3248.72</v>
      </c>
      <c r="AD151" s="139">
        <f>SUM($F151:Q151)</f>
        <v>3248.72</v>
      </c>
    </row>
    <row r="152" spans="1:30" x14ac:dyDescent="0.25">
      <c r="A152" s="106">
        <v>147</v>
      </c>
      <c r="C152" s="1" t="s">
        <v>105</v>
      </c>
      <c r="E152" s="101"/>
      <c r="F152" s="71">
        <v>0</v>
      </c>
      <c r="G152" s="71">
        <v>0</v>
      </c>
      <c r="H152" s="71">
        <v>0</v>
      </c>
      <c r="I152" s="71">
        <v>0</v>
      </c>
      <c r="J152" s="71">
        <v>0</v>
      </c>
      <c r="K152" s="71">
        <v>0</v>
      </c>
      <c r="L152" s="71">
        <v>0</v>
      </c>
      <c r="M152" s="71">
        <v>0</v>
      </c>
      <c r="N152" s="71">
        <v>0</v>
      </c>
      <c r="O152" s="71">
        <v>0</v>
      </c>
      <c r="P152" s="71">
        <v>0</v>
      </c>
      <c r="Q152" s="71">
        <v>0</v>
      </c>
      <c r="R152" s="79">
        <f t="shared" si="68"/>
        <v>0</v>
      </c>
      <c r="S152" s="139">
        <f t="shared" si="69"/>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71">
        <v>4573</v>
      </c>
      <c r="G153" s="71">
        <v>4573</v>
      </c>
      <c r="H153" s="71">
        <v>4573</v>
      </c>
      <c r="I153" s="71">
        <v>4573</v>
      </c>
      <c r="J153" s="71">
        <v>4573</v>
      </c>
      <c r="K153" s="71">
        <v>4573</v>
      </c>
      <c r="L153" s="71">
        <v>4573</v>
      </c>
      <c r="M153" s="71">
        <v>4573</v>
      </c>
      <c r="N153" s="71">
        <v>4573</v>
      </c>
      <c r="O153" s="71">
        <v>4573</v>
      </c>
      <c r="P153" s="71">
        <v>4573</v>
      </c>
      <c r="Q153" s="71">
        <v>0</v>
      </c>
      <c r="R153" s="79">
        <f t="shared" si="68"/>
        <v>50303</v>
      </c>
      <c r="S153" s="139">
        <f t="shared" si="69"/>
        <v>4573</v>
      </c>
      <c r="T153" s="139">
        <f>SUM($F153:G153)</f>
        <v>9146</v>
      </c>
      <c r="U153" s="139">
        <f>SUM($F153:H153)</f>
        <v>13719</v>
      </c>
      <c r="V153" s="139">
        <f>SUM($F153:I153)</f>
        <v>18292</v>
      </c>
      <c r="W153" s="139">
        <f>SUM($F153:J153)</f>
        <v>22865</v>
      </c>
      <c r="X153" s="139">
        <f>SUM($F153:K153)</f>
        <v>27438</v>
      </c>
      <c r="Y153" s="139">
        <f>SUM($F153:L153)</f>
        <v>32011</v>
      </c>
      <c r="Z153" s="139">
        <f>SUM($F153:M153)</f>
        <v>36584</v>
      </c>
      <c r="AA153" s="139">
        <f>SUM($F153:N153)</f>
        <v>41157</v>
      </c>
      <c r="AB153" s="139">
        <f>SUM($F153:O153)</f>
        <v>45730</v>
      </c>
      <c r="AC153" s="139">
        <f>SUM($F153:P153)</f>
        <v>50303</v>
      </c>
      <c r="AD153" s="139">
        <f>SUM($F153:Q153)</f>
        <v>50303</v>
      </c>
    </row>
    <row r="154" spans="1:30" x14ac:dyDescent="0.25">
      <c r="A154" s="106">
        <v>149</v>
      </c>
      <c r="C154" s="1" t="s">
        <v>106</v>
      </c>
      <c r="E154" s="101"/>
      <c r="F154" s="71">
        <v>55.27</v>
      </c>
      <c r="G154" s="71">
        <v>55.28</v>
      </c>
      <c r="H154" s="71">
        <v>51.71</v>
      </c>
      <c r="I154" s="71">
        <v>55.27</v>
      </c>
      <c r="J154" s="71">
        <v>53.49</v>
      </c>
      <c r="K154" s="71">
        <v>55.28</v>
      </c>
      <c r="L154" s="71">
        <v>56</v>
      </c>
      <c r="M154" s="71">
        <v>55.26</v>
      </c>
      <c r="N154" s="71">
        <v>0</v>
      </c>
      <c r="O154" s="71">
        <v>108.75</v>
      </c>
      <c r="P154" s="71">
        <v>55.26</v>
      </c>
      <c r="Q154" s="71">
        <v>0</v>
      </c>
      <c r="R154" s="79">
        <f t="shared" si="68"/>
        <v>601.57000000000005</v>
      </c>
      <c r="S154" s="139">
        <f t="shared" si="69"/>
        <v>55.27</v>
      </c>
      <c r="T154" s="139">
        <f>SUM($F154:G154)</f>
        <v>110.55000000000001</v>
      </c>
      <c r="U154" s="139">
        <f>SUM($F154:H154)</f>
        <v>162.26000000000002</v>
      </c>
      <c r="V154" s="139">
        <f>SUM($F154:I154)</f>
        <v>217.53000000000003</v>
      </c>
      <c r="W154" s="139">
        <f>SUM($F154:J154)</f>
        <v>271.02000000000004</v>
      </c>
      <c r="X154" s="139">
        <f>SUM($F154:K154)</f>
        <v>326.30000000000007</v>
      </c>
      <c r="Y154" s="139">
        <f>SUM($F154:L154)</f>
        <v>382.30000000000007</v>
      </c>
      <c r="Z154" s="139">
        <f>SUM($F154:M154)</f>
        <v>437.56000000000006</v>
      </c>
      <c r="AA154" s="139">
        <f>SUM($F154:N154)</f>
        <v>437.56000000000006</v>
      </c>
      <c r="AB154" s="139">
        <f>SUM($F154:O154)</f>
        <v>546.31000000000006</v>
      </c>
      <c r="AC154" s="139">
        <f>SUM($F154:P154)</f>
        <v>601.57000000000005</v>
      </c>
      <c r="AD154" s="139">
        <f>SUM($F154:Q154)</f>
        <v>601.57000000000005</v>
      </c>
    </row>
    <row r="155" spans="1:30" s="5" customFormat="1" x14ac:dyDescent="0.25">
      <c r="A155" s="106">
        <v>150</v>
      </c>
      <c r="B155" s="36" t="s">
        <v>108</v>
      </c>
      <c r="C155" s="36"/>
      <c r="D155" s="36"/>
      <c r="E155" s="97"/>
      <c r="F155" s="81">
        <f t="shared" ref="F155:Q155" si="70">SUM(F147:F154)</f>
        <v>10367.870000000001</v>
      </c>
      <c r="G155" s="81">
        <f t="shared" si="70"/>
        <v>5896.7599999999993</v>
      </c>
      <c r="H155" s="81">
        <f t="shared" si="70"/>
        <v>6103.19</v>
      </c>
      <c r="I155" s="81">
        <f t="shared" si="70"/>
        <v>8959.4000000000015</v>
      </c>
      <c r="J155" s="81">
        <f t="shared" si="70"/>
        <v>4961.33</v>
      </c>
      <c r="K155" s="81">
        <f t="shared" si="70"/>
        <v>5505.49</v>
      </c>
      <c r="L155" s="81">
        <f t="shared" si="70"/>
        <v>8357.0400000000009</v>
      </c>
      <c r="M155" s="81">
        <f t="shared" si="70"/>
        <v>4978.5200000000004</v>
      </c>
      <c r="N155" s="81">
        <f t="shared" si="70"/>
        <v>4824.8900000000003</v>
      </c>
      <c r="O155" s="81">
        <f t="shared" si="70"/>
        <v>8480.7099999999991</v>
      </c>
      <c r="P155" s="81">
        <f t="shared" si="70"/>
        <v>5190.8600000000006</v>
      </c>
      <c r="Q155" s="81">
        <f t="shared" si="70"/>
        <v>0</v>
      </c>
      <c r="R155" s="81">
        <f>SUM(R147:R154)</f>
        <v>73626.06</v>
      </c>
      <c r="S155" s="150">
        <f t="shared" ref="S155:AD155" si="71">SUM(S147:S154)</f>
        <v>10367.870000000001</v>
      </c>
      <c r="T155" s="150">
        <f t="shared" si="71"/>
        <v>16264.63</v>
      </c>
      <c r="U155" s="150">
        <f t="shared" si="71"/>
        <v>22367.819999999996</v>
      </c>
      <c r="V155" s="150">
        <f t="shared" si="71"/>
        <v>31327.22</v>
      </c>
      <c r="W155" s="150">
        <f t="shared" si="71"/>
        <v>36288.549999999996</v>
      </c>
      <c r="X155" s="150">
        <f t="shared" si="71"/>
        <v>41794.04</v>
      </c>
      <c r="Y155" s="150">
        <f t="shared" si="71"/>
        <v>50151.08</v>
      </c>
      <c r="Z155" s="150">
        <f t="shared" si="71"/>
        <v>55129.599999999999</v>
      </c>
      <c r="AA155" s="150">
        <f t="shared" si="71"/>
        <v>59954.49</v>
      </c>
      <c r="AB155" s="150">
        <f t="shared" si="71"/>
        <v>68435.199999999997</v>
      </c>
      <c r="AC155" s="150">
        <f t="shared" si="71"/>
        <v>73626.06</v>
      </c>
      <c r="AD155" s="150">
        <f t="shared" si="71"/>
        <v>73626.06</v>
      </c>
    </row>
    <row r="156" spans="1:30" x14ac:dyDescent="0.25">
      <c r="A156" s="106">
        <v>151</v>
      </c>
      <c r="B156" s="36" t="s">
        <v>109</v>
      </c>
      <c r="C156" s="36"/>
      <c r="D156" s="36"/>
      <c r="E156" s="97"/>
      <c r="F156" s="81">
        <f t="shared" ref="F156:Q156" si="72">+F144+F155</f>
        <v>17235.52</v>
      </c>
      <c r="G156" s="81">
        <f t="shared" si="72"/>
        <v>9907.86</v>
      </c>
      <c r="H156" s="81">
        <f t="shared" si="72"/>
        <v>8957.24</v>
      </c>
      <c r="I156" s="81">
        <f t="shared" si="72"/>
        <v>12147.150000000001</v>
      </c>
      <c r="J156" s="81">
        <f t="shared" si="72"/>
        <v>7718.2</v>
      </c>
      <c r="K156" s="81">
        <f t="shared" si="72"/>
        <v>8015.6</v>
      </c>
      <c r="L156" s="81">
        <f t="shared" si="72"/>
        <v>11819.080000000002</v>
      </c>
      <c r="M156" s="81">
        <f t="shared" si="72"/>
        <v>8175.17</v>
      </c>
      <c r="N156" s="81">
        <f t="shared" si="72"/>
        <v>8039.0400000000009</v>
      </c>
      <c r="O156" s="81">
        <f t="shared" si="72"/>
        <v>11795.109999999999</v>
      </c>
      <c r="P156" s="81">
        <f t="shared" si="72"/>
        <v>7729.93</v>
      </c>
      <c r="Q156" s="81">
        <f t="shared" si="72"/>
        <v>0</v>
      </c>
      <c r="R156" s="81">
        <f>+R144+R155</f>
        <v>111539.9</v>
      </c>
      <c r="S156" s="150">
        <f t="shared" ref="S156:AD156" si="73">+S144+S155</f>
        <v>17235.52</v>
      </c>
      <c r="T156" s="150">
        <f t="shared" si="73"/>
        <v>27143.379999999997</v>
      </c>
      <c r="U156" s="150">
        <f t="shared" si="73"/>
        <v>36100.619999999995</v>
      </c>
      <c r="V156" s="150">
        <f t="shared" si="73"/>
        <v>48247.770000000004</v>
      </c>
      <c r="W156" s="150">
        <f t="shared" si="73"/>
        <v>55965.969999999994</v>
      </c>
      <c r="X156" s="150">
        <f t="shared" si="73"/>
        <v>63981.570000000007</v>
      </c>
      <c r="Y156" s="150">
        <f t="shared" si="73"/>
        <v>75800.649999999994</v>
      </c>
      <c r="Z156" s="150">
        <f t="shared" si="73"/>
        <v>83975.82</v>
      </c>
      <c r="AA156" s="150">
        <f t="shared" si="73"/>
        <v>92014.86</v>
      </c>
      <c r="AB156" s="150">
        <f t="shared" si="73"/>
        <v>103809.97</v>
      </c>
      <c r="AC156" s="150">
        <f t="shared" si="73"/>
        <v>111539.9</v>
      </c>
      <c r="AD156" s="150">
        <f t="shared" si="73"/>
        <v>111539.9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 t="shared" ref="R160:R163" si="74">SUM(F160:Q160)</f>
        <v>0</v>
      </c>
      <c r="S160" s="139">
        <f t="shared" ref="S160:S163" si="75">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1">
        <v>0</v>
      </c>
      <c r="I161" s="71">
        <v>0</v>
      </c>
      <c r="J161" s="71">
        <v>0</v>
      </c>
      <c r="K161" s="71">
        <v>0</v>
      </c>
      <c r="L161" s="71">
        <v>2500</v>
      </c>
      <c r="M161" s="71">
        <v>0</v>
      </c>
      <c r="N161" s="71">
        <v>0</v>
      </c>
      <c r="O161" s="71">
        <v>0</v>
      </c>
      <c r="P161" s="71">
        <v>0</v>
      </c>
      <c r="Q161" s="71">
        <v>0</v>
      </c>
      <c r="R161" s="79">
        <f t="shared" si="74"/>
        <v>2500</v>
      </c>
      <c r="S161" s="139">
        <f t="shared" si="75"/>
        <v>0</v>
      </c>
      <c r="T161" s="139">
        <f>SUM($F161:G161)</f>
        <v>0</v>
      </c>
      <c r="U161" s="139">
        <f>SUM($F161:H161)</f>
        <v>0</v>
      </c>
      <c r="V161" s="139">
        <f>SUM($F161:I161)</f>
        <v>0</v>
      </c>
      <c r="W161" s="139">
        <f>SUM($F161:J161)</f>
        <v>0</v>
      </c>
      <c r="X161" s="139">
        <f>SUM($F161:K161)</f>
        <v>0</v>
      </c>
      <c r="Y161" s="139">
        <f>SUM($F161:L161)</f>
        <v>2500</v>
      </c>
      <c r="Z161" s="139">
        <f>SUM($F161:M161)</f>
        <v>2500</v>
      </c>
      <c r="AA161" s="139">
        <f>SUM($F161:N161)</f>
        <v>2500</v>
      </c>
      <c r="AB161" s="139">
        <f>SUM($F161:O161)</f>
        <v>2500</v>
      </c>
      <c r="AC161" s="139">
        <f>SUM($F161:P161)</f>
        <v>2500</v>
      </c>
      <c r="AD161" s="139">
        <f>SUM($F161:Q161)</f>
        <v>2500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 t="shared" si="74"/>
        <v>0</v>
      </c>
      <c r="S162" s="139">
        <f t="shared" si="75"/>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71">
        <v>0</v>
      </c>
      <c r="G163" s="71">
        <v>0</v>
      </c>
      <c r="H163" s="71">
        <v>0</v>
      </c>
      <c r="I163" s="71">
        <v>0</v>
      </c>
      <c r="J163" s="71">
        <v>0</v>
      </c>
      <c r="K163" s="71">
        <v>0</v>
      </c>
      <c r="L163" s="71">
        <v>0</v>
      </c>
      <c r="M163" s="71">
        <v>0</v>
      </c>
      <c r="N163" s="71">
        <v>0</v>
      </c>
      <c r="O163" s="71">
        <v>0</v>
      </c>
      <c r="P163" s="71">
        <v>0</v>
      </c>
      <c r="Q163" s="71">
        <v>0</v>
      </c>
      <c r="R163" s="79">
        <f t="shared" si="74"/>
        <v>0</v>
      </c>
      <c r="S163" s="139">
        <f t="shared" si="75"/>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row>
    <row r="164" spans="1:30" s="5" customFormat="1" x14ac:dyDescent="0.25">
      <c r="A164" s="106">
        <v>159</v>
      </c>
      <c r="B164" s="38" t="s">
        <v>116</v>
      </c>
      <c r="C164" s="38"/>
      <c r="D164" s="38"/>
      <c r="E164" s="98"/>
      <c r="F164" s="82">
        <f t="shared" ref="F164:Q164" si="76">SUM(F160:F163)</f>
        <v>0</v>
      </c>
      <c r="G164" s="82">
        <f t="shared" si="76"/>
        <v>0</v>
      </c>
      <c r="H164" s="82">
        <f t="shared" si="76"/>
        <v>0</v>
      </c>
      <c r="I164" s="82">
        <f t="shared" si="76"/>
        <v>0</v>
      </c>
      <c r="J164" s="82">
        <f t="shared" si="76"/>
        <v>0</v>
      </c>
      <c r="K164" s="82">
        <f t="shared" si="76"/>
        <v>0</v>
      </c>
      <c r="L164" s="82">
        <f t="shared" si="76"/>
        <v>2500</v>
      </c>
      <c r="M164" s="82">
        <f t="shared" si="76"/>
        <v>0</v>
      </c>
      <c r="N164" s="82">
        <f t="shared" si="76"/>
        <v>0</v>
      </c>
      <c r="O164" s="82">
        <f t="shared" si="76"/>
        <v>0</v>
      </c>
      <c r="P164" s="82">
        <f t="shared" si="76"/>
        <v>0</v>
      </c>
      <c r="Q164" s="82">
        <f t="shared" si="76"/>
        <v>0</v>
      </c>
      <c r="R164" s="82">
        <f>SUM(R160:R163)</f>
        <v>2500</v>
      </c>
      <c r="S164" s="151">
        <f t="shared" ref="S164:AD164" si="77">SUM(S160:S163)</f>
        <v>0</v>
      </c>
      <c r="T164" s="151">
        <f t="shared" si="77"/>
        <v>0</v>
      </c>
      <c r="U164" s="151">
        <f t="shared" si="77"/>
        <v>0</v>
      </c>
      <c r="V164" s="151">
        <f t="shared" si="77"/>
        <v>0</v>
      </c>
      <c r="W164" s="151">
        <f t="shared" si="77"/>
        <v>0</v>
      </c>
      <c r="X164" s="151">
        <f t="shared" si="77"/>
        <v>0</v>
      </c>
      <c r="Y164" s="151">
        <f t="shared" si="77"/>
        <v>2500</v>
      </c>
      <c r="Z164" s="151">
        <f t="shared" si="77"/>
        <v>2500</v>
      </c>
      <c r="AA164" s="151">
        <f t="shared" si="77"/>
        <v>2500</v>
      </c>
      <c r="AB164" s="151">
        <f t="shared" si="77"/>
        <v>2500</v>
      </c>
      <c r="AC164" s="151">
        <f t="shared" si="77"/>
        <v>2500</v>
      </c>
      <c r="AD164" s="151">
        <f t="shared" si="77"/>
        <v>2500</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78">+F82+F133+F156+F164+F31</f>
        <v>48481.75</v>
      </c>
      <c r="G166" s="83">
        <f t="shared" si="78"/>
        <v>41870.6</v>
      </c>
      <c r="H166" s="83">
        <f t="shared" si="78"/>
        <v>45950.41</v>
      </c>
      <c r="I166" s="83">
        <f t="shared" si="78"/>
        <v>47920.7</v>
      </c>
      <c r="J166" s="83">
        <f t="shared" si="78"/>
        <v>45261.19</v>
      </c>
      <c r="K166" s="83">
        <f t="shared" si="78"/>
        <v>48146.85</v>
      </c>
      <c r="L166" s="83">
        <f t="shared" si="78"/>
        <v>45275.240000000005</v>
      </c>
      <c r="M166" s="83">
        <f t="shared" si="78"/>
        <v>40449</v>
      </c>
      <c r="N166" s="83">
        <f t="shared" si="78"/>
        <v>46419.950000000004</v>
      </c>
      <c r="O166" s="83">
        <f t="shared" si="78"/>
        <v>50344.659999999996</v>
      </c>
      <c r="P166" s="83">
        <f t="shared" si="78"/>
        <v>42759.13</v>
      </c>
      <c r="Q166" s="83">
        <f t="shared" si="78"/>
        <v>0</v>
      </c>
      <c r="R166" s="83">
        <f>+R82+R133+R156+R164+R31</f>
        <v>502879.48</v>
      </c>
      <c r="S166" s="152">
        <f t="shared" ref="S166:AD166" si="79">+S82+S133+S156+S164+S31</f>
        <v>48481.75</v>
      </c>
      <c r="T166" s="152">
        <f t="shared" si="79"/>
        <v>90352.35</v>
      </c>
      <c r="U166" s="152">
        <f t="shared" si="79"/>
        <v>136302.76</v>
      </c>
      <c r="V166" s="152">
        <f t="shared" si="79"/>
        <v>184223.46000000002</v>
      </c>
      <c r="W166" s="152">
        <f t="shared" si="79"/>
        <v>229484.64999999997</v>
      </c>
      <c r="X166" s="152">
        <f t="shared" si="79"/>
        <v>277631.5</v>
      </c>
      <c r="Y166" s="152">
        <f t="shared" si="79"/>
        <v>322906.73999999993</v>
      </c>
      <c r="Z166" s="152">
        <f t="shared" si="79"/>
        <v>363355.74</v>
      </c>
      <c r="AA166" s="152">
        <f t="shared" si="79"/>
        <v>409775.69</v>
      </c>
      <c r="AB166" s="152">
        <f t="shared" si="79"/>
        <v>460120.34999999992</v>
      </c>
      <c r="AC166" s="152">
        <f t="shared" si="79"/>
        <v>502879.48</v>
      </c>
      <c r="AD166" s="152">
        <f t="shared" si="79"/>
        <v>502879.48</v>
      </c>
    </row>
    <row r="167" spans="1:30" x14ac:dyDescent="0.25">
      <c r="A167" s="106">
        <v>162</v>
      </c>
      <c r="B167" s="40" t="s">
        <v>118</v>
      </c>
      <c r="C167" s="41"/>
      <c r="D167" s="41"/>
      <c r="E167" s="99"/>
      <c r="F167" s="83">
        <f t="shared" ref="F167:Q167" si="80">+F22-F166</f>
        <v>46647.360000000001</v>
      </c>
      <c r="G167" s="83">
        <f t="shared" si="80"/>
        <v>-5612.5899999999965</v>
      </c>
      <c r="H167" s="83">
        <f t="shared" si="80"/>
        <v>-15812.990000000005</v>
      </c>
      <c r="I167" s="83">
        <f t="shared" si="80"/>
        <v>-230.87999999999738</v>
      </c>
      <c r="J167" s="83">
        <f t="shared" si="80"/>
        <v>-15250.61</v>
      </c>
      <c r="K167" s="83">
        <f t="shared" si="80"/>
        <v>-15684.649999999998</v>
      </c>
      <c r="L167" s="83">
        <f t="shared" si="80"/>
        <v>45443.649999999994</v>
      </c>
      <c r="M167" s="83">
        <f t="shared" si="80"/>
        <v>-7621.32</v>
      </c>
      <c r="N167" s="83">
        <f t="shared" si="80"/>
        <v>-8434.4000000000015</v>
      </c>
      <c r="O167" s="83">
        <f t="shared" si="80"/>
        <v>-16143.239999999998</v>
      </c>
      <c r="P167" s="83">
        <f t="shared" si="80"/>
        <v>-1007.4699999999939</v>
      </c>
      <c r="Q167" s="83">
        <f t="shared" si="80"/>
        <v>0</v>
      </c>
      <c r="R167" s="83">
        <f>+R22-R166</f>
        <v>6292.859999999986</v>
      </c>
      <c r="S167" s="152">
        <f t="shared" ref="S167:AD167" si="81">+S22-S166</f>
        <v>46647.360000000001</v>
      </c>
      <c r="T167" s="152">
        <f t="shared" si="81"/>
        <v>41034.76999999999</v>
      </c>
      <c r="U167" s="152">
        <f t="shared" si="81"/>
        <v>25221.78</v>
      </c>
      <c r="V167" s="152">
        <f t="shared" si="81"/>
        <v>24990.899999999994</v>
      </c>
      <c r="W167" s="152">
        <f t="shared" si="81"/>
        <v>9740.2900000000373</v>
      </c>
      <c r="X167" s="152">
        <f t="shared" si="81"/>
        <v>-5944.3600000000442</v>
      </c>
      <c r="Y167" s="152">
        <f t="shared" si="81"/>
        <v>39499.290000000037</v>
      </c>
      <c r="Z167" s="152">
        <f t="shared" si="81"/>
        <v>31877.969999999972</v>
      </c>
      <c r="AA167" s="152">
        <f t="shared" si="81"/>
        <v>23443.569999999949</v>
      </c>
      <c r="AB167" s="152">
        <f t="shared" si="81"/>
        <v>7300.3300000000745</v>
      </c>
      <c r="AC167" s="152">
        <f t="shared" si="81"/>
        <v>6292.859999999986</v>
      </c>
      <c r="AD167" s="152">
        <f t="shared" si="81"/>
        <v>6292.859999999986</v>
      </c>
    </row>
    <row r="168" spans="1:30" x14ac:dyDescent="0.25">
      <c r="AC168" s="35" t="s">
        <v>179</v>
      </c>
      <c r="AD168" s="35">
        <f>+R166-AD166</f>
        <v>0</v>
      </c>
    </row>
    <row r="169" spans="1:30" x14ac:dyDescent="0.25">
      <c r="AD169" s="35">
        <f>+R167-AD167</f>
        <v>0</v>
      </c>
    </row>
  </sheetData>
  <mergeCells count="5">
    <mergeCell ref="B2:R2"/>
    <mergeCell ref="F3:R3"/>
    <mergeCell ref="C150:D150"/>
    <mergeCell ref="S3:AD3"/>
    <mergeCell ref="B1:AD1"/>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O40"/>
  <sheetViews>
    <sheetView showGridLines="0" topLeftCell="B1" workbookViewId="0">
      <selection activeCell="O6" sqref="O6"/>
    </sheetView>
  </sheetViews>
  <sheetFormatPr defaultRowHeight="15" x14ac:dyDescent="0.25"/>
  <cols>
    <col min="1" max="1" width="4.42578125" style="106" hidden="1" customWidth="1"/>
    <col min="2" max="2" width="4.28515625" style="5"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6" customWidth="1"/>
    <col min="9" max="9" width="11.140625" style="66" customWidth="1"/>
    <col min="10" max="10" width="12.28515625" style="66" customWidth="1"/>
    <col min="11" max="11" width="3.28515625" style="1" customWidth="1"/>
    <col min="12" max="12" width="13.28515625" style="66" customWidth="1"/>
    <col min="13" max="13" width="11.5703125" style="66" customWidth="1"/>
    <col min="14" max="14" width="10" style="1" bestFit="1" customWidth="1"/>
    <col min="15" max="15" width="11.5703125" style="1" bestFit="1" customWidth="1"/>
    <col min="16" max="16384" width="9.140625" style="1"/>
  </cols>
  <sheetData>
    <row r="2" spans="1:13" ht="23.25" x14ac:dyDescent="0.25">
      <c r="B2" s="243" t="s">
        <v>213</v>
      </c>
      <c r="C2" s="243"/>
      <c r="D2" s="243"/>
      <c r="E2" s="243"/>
      <c r="F2" s="243"/>
    </row>
    <row r="3" spans="1:13" ht="36.75" customHeight="1" x14ac:dyDescent="0.25">
      <c r="B3" s="244" t="s">
        <v>210</v>
      </c>
      <c r="C3" s="244"/>
      <c r="D3" s="244"/>
      <c r="E3" s="244"/>
      <c r="F3" s="244"/>
      <c r="G3" s="244"/>
      <c r="H3" s="244"/>
      <c r="I3" s="244"/>
      <c r="J3" s="244"/>
      <c r="K3" s="244"/>
      <c r="L3" s="244"/>
      <c r="M3" s="244"/>
    </row>
    <row r="4" spans="1:13" ht="40.5" customHeight="1" x14ac:dyDescent="0.25">
      <c r="B4" s="244" t="s">
        <v>209</v>
      </c>
      <c r="C4" s="244"/>
      <c r="D4" s="244"/>
      <c r="E4" s="244"/>
      <c r="F4" s="244"/>
      <c r="G4" s="244"/>
      <c r="H4" s="244"/>
      <c r="I4" s="244"/>
      <c r="J4" s="244"/>
      <c r="K4" s="244"/>
      <c r="L4" s="244"/>
      <c r="M4" s="244"/>
    </row>
    <row r="5" spans="1:13" ht="40.5" customHeight="1" x14ac:dyDescent="0.25">
      <c r="B5" s="244" t="s">
        <v>211</v>
      </c>
      <c r="C5" s="244"/>
      <c r="D5" s="244"/>
      <c r="E5" s="244"/>
      <c r="F5" s="244"/>
      <c r="G5" s="244"/>
      <c r="H5" s="244"/>
      <c r="I5" s="244"/>
      <c r="J5" s="244"/>
      <c r="K5" s="244"/>
      <c r="L5" s="244"/>
      <c r="M5" s="244"/>
    </row>
    <row r="6" spans="1:13" ht="60.75" customHeight="1" x14ac:dyDescent="0.25">
      <c r="B6" s="245" t="s">
        <v>212</v>
      </c>
      <c r="C6" s="245"/>
      <c r="D6" s="245"/>
      <c r="E6" s="245"/>
      <c r="F6" s="245"/>
      <c r="G6" s="245"/>
      <c r="H6" s="245"/>
      <c r="I6" s="245"/>
      <c r="J6" s="245"/>
      <c r="K6" s="245"/>
      <c r="L6" s="245"/>
      <c r="M6" s="245"/>
    </row>
    <row r="7" spans="1:13" ht="18.75" customHeight="1" x14ac:dyDescent="0.3">
      <c r="C7" s="191"/>
      <c r="D7" s="191"/>
      <c r="E7" s="191"/>
      <c r="F7" s="192" t="s">
        <v>207</v>
      </c>
      <c r="G7" s="191"/>
      <c r="H7" s="193"/>
      <c r="I7" s="193"/>
      <c r="J7" s="193"/>
      <c r="K7" s="191"/>
      <c r="L7" s="193"/>
      <c r="M7" s="193"/>
    </row>
    <row r="8" spans="1:13" ht="19.5" customHeight="1" x14ac:dyDescent="0.3">
      <c r="C8" s="191"/>
      <c r="D8" s="191"/>
      <c r="E8" s="191"/>
      <c r="F8" s="192"/>
      <c r="G8" s="191" t="s">
        <v>206</v>
      </c>
      <c r="H8" s="193"/>
      <c r="I8" s="193"/>
      <c r="J8" s="193"/>
      <c r="K8" s="191"/>
      <c r="L8" s="193"/>
      <c r="M8" s="193"/>
    </row>
    <row r="9" spans="1:13" ht="18" customHeight="1" x14ac:dyDescent="0.25">
      <c r="C9" s="191"/>
      <c r="D9" s="191"/>
      <c r="E9" s="191"/>
      <c r="F9" s="191"/>
      <c r="G9" s="191" t="s">
        <v>208</v>
      </c>
      <c r="H9" s="193"/>
      <c r="I9" s="193"/>
      <c r="J9" s="193"/>
      <c r="K9" s="191"/>
      <c r="L9" s="193"/>
      <c r="M9" s="193"/>
    </row>
    <row r="10" spans="1:13" ht="40.5" customHeight="1" x14ac:dyDescent="0.35">
      <c r="B10" s="242" t="s">
        <v>123</v>
      </c>
      <c r="C10" s="242"/>
      <c r="D10" s="242"/>
      <c r="E10" s="242"/>
      <c r="F10" s="242"/>
      <c r="G10" s="242"/>
      <c r="H10" s="242"/>
      <c r="I10" s="242"/>
      <c r="J10" s="242"/>
      <c r="K10" s="242"/>
      <c r="L10" s="242"/>
      <c r="M10" s="242"/>
    </row>
    <row r="11" spans="1:13" ht="8.25" customHeight="1" x14ac:dyDescent="0.25">
      <c r="B11" s="11"/>
      <c r="C11" s="11"/>
      <c r="D11" s="11"/>
      <c r="E11" s="11"/>
      <c r="F11" s="11"/>
      <c r="G11" s="11"/>
      <c r="H11" s="11"/>
      <c r="I11" s="11"/>
      <c r="J11" s="11"/>
      <c r="K11" s="11"/>
      <c r="L11" s="11"/>
      <c r="M11" s="11"/>
    </row>
    <row r="12" spans="1:13" ht="23.25" customHeight="1" x14ac:dyDescent="0.25">
      <c r="F12" s="224" t="str">
        <f>VLOOKUP(Cur_Month,Lookup_Month,2)&amp;" YTD"</f>
        <v>October YTD</v>
      </c>
      <c r="G12" s="225"/>
      <c r="H12" s="225"/>
      <c r="I12" s="225"/>
      <c r="J12" s="226"/>
      <c r="L12" s="229" t="s">
        <v>200</v>
      </c>
      <c r="M12" s="231"/>
    </row>
    <row r="13" spans="1:13" s="5" customFormat="1" ht="53.25" customHeight="1" x14ac:dyDescent="0.3">
      <c r="A13" s="107"/>
      <c r="B13" s="155"/>
      <c r="F13" s="156" t="s">
        <v>184</v>
      </c>
      <c r="G13" s="157" t="s">
        <v>185</v>
      </c>
      <c r="H13" s="157" t="s">
        <v>205</v>
      </c>
      <c r="I13" s="157" t="s">
        <v>186</v>
      </c>
      <c r="J13" s="158" t="s">
        <v>205</v>
      </c>
      <c r="L13" s="159" t="s">
        <v>201</v>
      </c>
      <c r="M13" s="158" t="s">
        <v>202</v>
      </c>
    </row>
    <row r="14" spans="1:13" x14ac:dyDescent="0.25">
      <c r="A14" s="106">
        <v>8</v>
      </c>
      <c r="B14" s="160" t="s">
        <v>7</v>
      </c>
      <c r="C14" s="161"/>
      <c r="D14" s="161"/>
      <c r="E14" s="162"/>
      <c r="F14" s="163">
        <f>+'YTD Report'!F13</f>
        <v>460134.19</v>
      </c>
      <c r="G14" s="163">
        <f>+'YTD Report'!G13</f>
        <v>472854.53</v>
      </c>
      <c r="H14" s="164">
        <f t="shared" ref="H14" si="0">IF(G14=0,"NA",(+F14-G14)/G14)</f>
        <v>-2.6901169795285718E-2</v>
      </c>
      <c r="I14" s="163">
        <f>+'YTD Report'!I13</f>
        <v>459756.39999999997</v>
      </c>
      <c r="J14" s="164">
        <f t="shared" ref="J14" si="1">IF(I14=0,"NA",(+F14-I14)/I14)</f>
        <v>8.2171776184091676E-4</v>
      </c>
      <c r="K14" s="162"/>
      <c r="L14" s="163">
        <f>+'YTD Report'!L13</f>
        <v>102370.81000000001</v>
      </c>
      <c r="M14" s="165">
        <f>IF('Current Year Budget'!R13=0,0,+L14/'Current Year Budget'!R13)</f>
        <v>0.18199093341392522</v>
      </c>
    </row>
    <row r="15" spans="1:13" x14ac:dyDescent="0.25">
      <c r="A15" s="106">
        <v>16</v>
      </c>
      <c r="B15" s="166" t="s">
        <v>11</v>
      </c>
      <c r="C15" s="168"/>
      <c r="D15" s="168"/>
      <c r="E15" s="167"/>
      <c r="F15" s="169">
        <f>+'YTD Report'!F21</f>
        <v>10336.640000000001</v>
      </c>
      <c r="G15" s="169">
        <f>+'YTD Report'!G21</f>
        <v>8333.3000000000011</v>
      </c>
      <c r="H15" s="170">
        <f t="shared" ref="H15:H16" si="2">IF(G15=0,"NA",(+F15-G15)/G15)</f>
        <v>0.2404017616070464</v>
      </c>
      <c r="I15" s="169">
        <f>+'YTD Report'!I21</f>
        <v>7664.2800000000007</v>
      </c>
      <c r="J15" s="170">
        <f t="shared" ref="J15:J16" si="3">IF(I15=0,"NA",(+F15-I15)/I15)</f>
        <v>0.34867724039309633</v>
      </c>
      <c r="K15" s="167"/>
      <c r="L15" s="169">
        <f>+'YTD Report'!L21</f>
        <v>-336.63999999999982</v>
      </c>
      <c r="M15" s="171">
        <f>IF('Current Year Budget'!R21=0,0,+L15/'Current Year Budget'!R21)</f>
        <v>-3.3663999999999979E-2</v>
      </c>
    </row>
    <row r="16" spans="1:13" ht="18.75" x14ac:dyDescent="0.25">
      <c r="A16" s="106">
        <v>17</v>
      </c>
      <c r="B16" s="172" t="s">
        <v>14</v>
      </c>
      <c r="C16" s="173"/>
      <c r="D16" s="173"/>
      <c r="E16" s="174"/>
      <c r="F16" s="175">
        <f>+F14+F15</f>
        <v>470470.83</v>
      </c>
      <c r="G16" s="175">
        <f>+G14+G15</f>
        <v>481187.83</v>
      </c>
      <c r="H16" s="176">
        <f t="shared" si="2"/>
        <v>-2.2271968100273858E-2</v>
      </c>
      <c r="I16" s="177">
        <f>+I14+I15</f>
        <v>467420.68</v>
      </c>
      <c r="J16" s="176">
        <f t="shared" si="3"/>
        <v>6.5254921968793149E-3</v>
      </c>
      <c r="K16" s="174"/>
      <c r="L16" s="177">
        <f>+L14+L15</f>
        <v>102034.17000000001</v>
      </c>
      <c r="M16" s="178">
        <f>IF('Current Year Budget'!R22=0,0,+L16/'Current Year Budget'!R22)</f>
        <v>0.17822406791207066</v>
      </c>
    </row>
    <row r="17" spans="1:15" ht="6" customHeight="1" x14ac:dyDescent="0.25">
      <c r="A17" s="106">
        <v>18</v>
      </c>
      <c r="B17" s="179"/>
      <c r="C17" s="180"/>
      <c r="D17" s="180"/>
      <c r="E17" s="180"/>
      <c r="F17" s="181"/>
      <c r="G17" s="181"/>
      <c r="H17" s="182"/>
      <c r="I17" s="183"/>
      <c r="J17" s="182"/>
      <c r="K17" s="180"/>
      <c r="L17" s="183"/>
      <c r="M17" s="184"/>
    </row>
    <row r="18" spans="1:15" ht="7.5" customHeight="1" x14ac:dyDescent="0.25">
      <c r="A18" s="106">
        <v>160</v>
      </c>
      <c r="B18" s="179"/>
      <c r="C18" s="180"/>
      <c r="D18" s="180"/>
      <c r="E18" s="180"/>
      <c r="F18" s="181"/>
      <c r="G18" s="181"/>
      <c r="H18" s="182"/>
      <c r="I18" s="183"/>
      <c r="J18" s="182"/>
      <c r="K18" s="180"/>
      <c r="L18" s="183"/>
      <c r="M18" s="184"/>
    </row>
    <row r="19" spans="1:15" ht="18.75" x14ac:dyDescent="0.25">
      <c r="A19" s="106">
        <v>161</v>
      </c>
      <c r="B19" s="172" t="s">
        <v>117</v>
      </c>
      <c r="C19" s="174"/>
      <c r="D19" s="174"/>
      <c r="E19" s="174"/>
      <c r="F19" s="175">
        <f>+'YTD Report'!F166</f>
        <v>461158.51999999996</v>
      </c>
      <c r="G19" s="175">
        <f>+'YTD Report'!G166</f>
        <v>477060.85</v>
      </c>
      <c r="H19" s="176">
        <f>IF(G19=0,"NA",-(+F19-G19)/G19)</f>
        <v>3.3333965677544104E-2</v>
      </c>
      <c r="I19" s="175">
        <f>+'YTD Report'!I166</f>
        <v>460120.34999999992</v>
      </c>
      <c r="J19" s="176">
        <f>IF(I19=0,"NA",-(+F19-I19)/I19)</f>
        <v>-2.2563009873395995E-3</v>
      </c>
      <c r="K19" s="174"/>
      <c r="L19" s="175">
        <f>+'YTD Report'!L166</f>
        <v>111346.48</v>
      </c>
      <c r="M19" s="178">
        <f>IF('Current Year Budget'!R166=0,0,+L19/'Current Year Budget'!R166)</f>
        <v>0.19448996951991684</v>
      </c>
    </row>
    <row r="20" spans="1:15" ht="18.75" x14ac:dyDescent="0.25">
      <c r="A20" s="106">
        <v>162</v>
      </c>
      <c r="B20" s="185" t="s">
        <v>118</v>
      </c>
      <c r="C20" s="186"/>
      <c r="D20" s="186"/>
      <c r="E20" s="186"/>
      <c r="F20" s="187">
        <f>+F16-F19</f>
        <v>9312.3100000000559</v>
      </c>
      <c r="G20" s="187">
        <f>+G16-G19</f>
        <v>4126.9800000000396</v>
      </c>
      <c r="H20" s="188">
        <f>IF(G20=0,"NA",-(+F20-G20)/G20)</f>
        <v>-1.2564466026004406</v>
      </c>
      <c r="I20" s="189">
        <f>+I16-I19</f>
        <v>7300.3300000000745</v>
      </c>
      <c r="J20" s="188">
        <f>IF(I20=0,"NA",(+F20-I20)/I20)</f>
        <v>0.27560123994394237</v>
      </c>
      <c r="K20" s="186"/>
      <c r="L20" s="189"/>
      <c r="M20" s="190"/>
    </row>
    <row r="21" spans="1:15" x14ac:dyDescent="0.25">
      <c r="I21" s="1"/>
      <c r="L21" s="1"/>
    </row>
    <row r="22" spans="1:15" x14ac:dyDescent="0.25">
      <c r="I22" s="1"/>
    </row>
    <row r="23" spans="1:15" x14ac:dyDescent="0.25">
      <c r="I23" s="1"/>
    </row>
    <row r="24" spans="1:15" x14ac:dyDescent="0.25">
      <c r="I24" s="1"/>
    </row>
    <row r="25" spans="1:15" x14ac:dyDescent="0.25">
      <c r="I25" s="1"/>
    </row>
    <row r="26" spans="1:15" x14ac:dyDescent="0.25">
      <c r="I26" s="1"/>
    </row>
    <row r="27" spans="1:15" x14ac:dyDescent="0.25">
      <c r="I27" s="1"/>
    </row>
    <row r="28" spans="1:15" x14ac:dyDescent="0.25">
      <c r="I28" s="1"/>
    </row>
    <row r="29" spans="1:15" x14ac:dyDescent="0.25">
      <c r="I29" s="1"/>
    </row>
    <row r="30" spans="1:15" s="66" customFormat="1" x14ac:dyDescent="0.25">
      <c r="A30" s="106"/>
      <c r="B30" s="5"/>
      <c r="C30" s="1"/>
      <c r="D30" s="1"/>
      <c r="E30" s="1"/>
      <c r="F30" s="1"/>
      <c r="G30" s="1"/>
      <c r="I30" s="1"/>
      <c r="K30" s="1"/>
      <c r="N30" s="1"/>
      <c r="O30" s="1"/>
    </row>
    <row r="31" spans="1:15" s="66" customFormat="1" x14ac:dyDescent="0.25">
      <c r="A31" s="106"/>
      <c r="B31" s="5"/>
      <c r="C31" s="1"/>
      <c r="D31" s="1"/>
      <c r="E31" s="1"/>
      <c r="F31" s="1"/>
      <c r="G31" s="1"/>
      <c r="I31" s="1"/>
      <c r="K31" s="1"/>
      <c r="N31" s="1"/>
      <c r="O31" s="1"/>
    </row>
    <row r="32" spans="1:15" s="66" customFormat="1" x14ac:dyDescent="0.25">
      <c r="A32" s="106"/>
      <c r="B32" s="5"/>
      <c r="C32" s="1"/>
      <c r="D32" s="1"/>
      <c r="E32" s="1"/>
      <c r="F32" s="1"/>
      <c r="G32" s="1"/>
      <c r="I32" s="1"/>
      <c r="K32" s="1"/>
      <c r="N32" s="1"/>
      <c r="O32" s="1"/>
    </row>
    <row r="33" spans="1:15" s="66" customFormat="1" x14ac:dyDescent="0.25">
      <c r="A33" s="106"/>
      <c r="B33" s="5"/>
      <c r="C33" s="1"/>
      <c r="D33" s="1"/>
      <c r="E33" s="1"/>
      <c r="F33" s="1"/>
      <c r="G33" s="1"/>
      <c r="I33" s="1"/>
      <c r="K33" s="1"/>
      <c r="N33" s="1"/>
      <c r="O33" s="1"/>
    </row>
    <row r="34" spans="1:15" s="66" customFormat="1" x14ac:dyDescent="0.25">
      <c r="A34" s="106"/>
      <c r="B34" s="5"/>
      <c r="C34" s="1"/>
      <c r="D34" s="1"/>
      <c r="E34" s="1"/>
      <c r="F34" s="1"/>
      <c r="G34" s="1"/>
      <c r="I34" s="1"/>
      <c r="K34" s="1"/>
      <c r="N34" s="1"/>
      <c r="O34" s="1"/>
    </row>
    <row r="35" spans="1:15" s="66" customFormat="1" x14ac:dyDescent="0.25">
      <c r="A35" s="106"/>
      <c r="B35" s="5"/>
      <c r="C35" s="1"/>
      <c r="D35" s="1"/>
      <c r="E35" s="1"/>
      <c r="F35" s="1"/>
      <c r="G35" s="1"/>
      <c r="I35" s="1"/>
      <c r="K35" s="1"/>
      <c r="N35" s="1"/>
      <c r="O35" s="1"/>
    </row>
    <row r="36" spans="1:15" s="66" customFormat="1" x14ac:dyDescent="0.25">
      <c r="A36" s="106"/>
      <c r="B36" s="5"/>
      <c r="C36" s="1"/>
      <c r="D36" s="1"/>
      <c r="E36" s="1"/>
      <c r="F36" s="1"/>
      <c r="G36" s="1"/>
      <c r="I36" s="1"/>
      <c r="K36" s="1"/>
      <c r="N36" s="1"/>
      <c r="O36" s="1"/>
    </row>
    <row r="37" spans="1:15" s="66" customFormat="1" x14ac:dyDescent="0.25">
      <c r="A37" s="106"/>
      <c r="B37" s="5"/>
      <c r="C37" s="1"/>
      <c r="D37" s="1"/>
      <c r="E37" s="1"/>
      <c r="F37" s="1"/>
      <c r="G37" s="1"/>
      <c r="I37" s="1"/>
      <c r="K37" s="1"/>
      <c r="N37" s="1"/>
      <c r="O37" s="1"/>
    </row>
    <row r="38" spans="1:15" s="66" customFormat="1" x14ac:dyDescent="0.25">
      <c r="A38" s="106"/>
      <c r="B38" s="5"/>
      <c r="C38" s="1"/>
      <c r="D38" s="1"/>
      <c r="E38" s="1"/>
      <c r="F38" s="1"/>
      <c r="G38" s="1"/>
      <c r="I38" s="1"/>
      <c r="K38" s="1"/>
      <c r="N38" s="1"/>
      <c r="O38" s="1"/>
    </row>
    <row r="39" spans="1:15" s="66" customFormat="1" x14ac:dyDescent="0.25">
      <c r="A39" s="106"/>
      <c r="B39" s="5"/>
      <c r="C39" s="1"/>
      <c r="D39" s="1"/>
      <c r="E39" s="1"/>
      <c r="F39" s="1"/>
      <c r="G39" s="1"/>
      <c r="I39" s="1"/>
      <c r="K39" s="1"/>
      <c r="N39" s="1"/>
      <c r="O39" s="1"/>
    </row>
    <row r="40" spans="1:15" s="66" customFormat="1" x14ac:dyDescent="0.25">
      <c r="A40" s="106"/>
      <c r="B40" s="5"/>
      <c r="C40" s="1"/>
      <c r="D40" s="1"/>
      <c r="E40" s="1"/>
      <c r="F40" s="1"/>
      <c r="G40" s="1"/>
      <c r="I40" s="1"/>
      <c r="K40" s="1"/>
      <c r="N40" s="1"/>
      <c r="O40" s="1"/>
    </row>
  </sheetData>
  <mergeCells count="8">
    <mergeCell ref="B10:M10"/>
    <mergeCell ref="F12:J12"/>
    <mergeCell ref="L12:M12"/>
    <mergeCell ref="B2:F2"/>
    <mergeCell ref="B3:M3"/>
    <mergeCell ref="B4:M4"/>
    <mergeCell ref="B5:M5"/>
    <mergeCell ref="B6:M6"/>
  </mergeCells>
  <pageMargins left="0" right="0" top="0" bottom="0" header="0.3" footer="0.3"/>
  <pageSetup scale="97" orientation="landscape" r:id="rId1"/>
  <headerFooter>
    <oddFooter>&amp;C&amp;P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23</vt:i4>
      </vt:variant>
    </vt:vector>
  </HeadingPairs>
  <TitlesOfParts>
    <vt:vector size="38" baseType="lpstr">
      <vt:lpstr>Top Sheet</vt:lpstr>
      <vt:lpstr>New Year-Full Year</vt:lpstr>
      <vt:lpstr>YTD Report</vt:lpstr>
      <vt:lpstr>Monthly Report</vt:lpstr>
      <vt:lpstr>New Year Budget Paced</vt:lpstr>
      <vt:lpstr>Changes</vt:lpstr>
      <vt:lpstr>Current Year Actuals</vt:lpstr>
      <vt:lpstr>Prior Year Actuals</vt:lpstr>
      <vt:lpstr>Newsletter</vt:lpstr>
      <vt:lpstr>Current Year Budget</vt:lpstr>
      <vt:lpstr>2013 Budget</vt:lpstr>
      <vt:lpstr>2012 Budget</vt:lpstr>
      <vt:lpstr>2011 Actuals</vt:lpstr>
      <vt:lpstr>Historical Data (2)</vt:lpstr>
      <vt:lpstr>Lookups</vt:lpstr>
      <vt:lpstr>Cur_Actuals</vt:lpstr>
      <vt:lpstr>'2012 Budget'!Cur_Budget</vt:lpstr>
      <vt:lpstr>'2013 Budget'!Cur_Budget</vt:lpstr>
      <vt:lpstr>'New Year Budget Paced'!Cur_Budget</vt:lpstr>
      <vt:lpstr>Cur_Budget</vt:lpstr>
      <vt:lpstr>Cur_Month</vt:lpstr>
      <vt:lpstr>Cur_Year</vt:lpstr>
      <vt:lpstr>Lookup_Month</vt:lpstr>
      <vt:lpstr>'2011 Actuals'!Print_Titles</vt:lpstr>
      <vt:lpstr>'2012 Budget'!Print_Titles</vt:lpstr>
      <vt:lpstr>'2013 Budget'!Print_Titles</vt:lpstr>
      <vt:lpstr>Changes!Print_Titles</vt:lpstr>
      <vt:lpstr>'Current Year Actuals'!Print_Titles</vt:lpstr>
      <vt:lpstr>'Current Year Budget'!Print_Titles</vt:lpstr>
      <vt:lpstr>'Historical Data (2)'!Print_Titles</vt:lpstr>
      <vt:lpstr>'Monthly Report'!Print_Titles</vt:lpstr>
      <vt:lpstr>'New Year Budget Paced'!Print_Titles</vt:lpstr>
      <vt:lpstr>'New Year-Full Year'!Print_Titles</vt:lpstr>
      <vt:lpstr>Newsletter!Print_Titles</vt:lpstr>
      <vt:lpstr>'Prior Year Actuals'!Print_Titles</vt:lpstr>
      <vt:lpstr>'YTD Report'!Print_Titles</vt:lpstr>
      <vt:lpstr>'2011 Actuals'!PY_Actual</vt:lpstr>
      <vt:lpstr>PY_Actual</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SC Johnson</cp:lastModifiedBy>
  <cp:lastPrinted>2013-11-04T13:29:17Z</cp:lastPrinted>
  <dcterms:created xsi:type="dcterms:W3CDTF">2011-12-01T18:07:46Z</dcterms:created>
  <dcterms:modified xsi:type="dcterms:W3CDTF">2013-12-28T15:10:55Z</dcterms:modified>
</cp:coreProperties>
</file>